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3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8_{CE45FB82-DE37-4C52-8D73-76A894495410}" xr6:coauthVersionLast="47" xr6:coauthVersionMax="47" xr10:uidLastSave="{00000000-0000-0000-0000-000000000000}"/>
  <bookViews>
    <workbookView xWindow="-108" yWindow="-108" windowWidth="23256" windowHeight="12456" tabRatio="873" xr2:uid="{16FDA957-703F-4B89-B21B-027C667BC81B}"/>
  </bookViews>
  <sheets>
    <sheet name="Datos" sheetId="66" r:id="rId1"/>
    <sheet name="+DA" sheetId="71" r:id="rId2"/>
    <sheet name="CMC's" sheetId="74" r:id="rId3"/>
    <sheet name="punto 1" sheetId="59" r:id="rId4"/>
    <sheet name="punto 2" sheetId="65" r:id="rId5"/>
    <sheet name="punto 3" sheetId="67" r:id="rId6"/>
    <sheet name="punto 4" sheetId="68" r:id="rId7"/>
    <sheet name="punto 5" sheetId="69" r:id="rId8"/>
    <sheet name="Hoja1" sheetId="73" r:id="rId9"/>
    <sheet name="FA" sheetId="72" r:id="rId10"/>
    <sheet name="Datos Clientes" sheetId="70" r:id="rId11"/>
  </sheets>
  <externalReferences>
    <externalReference r:id="rId12"/>
    <externalReference r:id="rId13"/>
  </externalReferences>
  <definedNames>
    <definedName name="BalanzaCode">[2]General!$F$6</definedName>
    <definedName name="BalanzaMarca">[2]General!$F$8</definedName>
    <definedName name="BalanzaModelo">[2]General!$F$9</definedName>
    <definedName name="BalanzaRango1">[2]General!$F$12</definedName>
    <definedName name="BalanzaResol1">[2]General!$F$14</definedName>
    <definedName name="BalanzaSerie">[2]General!$F$10</definedName>
    <definedName name="BalanzaTipo">[2]General!$F$7</definedName>
    <definedName name="CertCode">[2]General!$F$4</definedName>
    <definedName name="CertDate">[2]General!$F$5</definedName>
    <definedName name="CertHR">[2]General!$I$13</definedName>
    <definedName name="CertHRIncerti">[2]General!$I$14</definedName>
    <definedName name="CertNum">[2]General!$F$3</definedName>
    <definedName name="CertPres">[2]General!$I$18</definedName>
    <definedName name="CertPresIncert">[2]General!$I$19</definedName>
    <definedName name="CertTempC">[2]General!$I$8</definedName>
    <definedName name="CertTempIncerti">[2]General!$I$9</definedName>
    <definedName name="ClientAdr">[2]General!$L$4</definedName>
    <definedName name="ClientName">[2]General!$L$3</definedName>
    <definedName name="ClientPlace">[2]General!$L$5</definedName>
    <definedName name="decim">'[2]kU(E)'!$G$4</definedName>
    <definedName name="ecc_error_max">[2]Calibración!$C$52</definedName>
    <definedName name="u_rep">[2]Calibración!$G$45</definedName>
    <definedName name="UnidadEscala">[2]Calibración!$C$15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4" l="1"/>
  <c r="D27" i="74"/>
  <c r="D25" i="74"/>
  <c r="D16" i="74"/>
  <c r="D17" i="74"/>
  <c r="D18" i="74"/>
  <c r="D19" i="74"/>
  <c r="D15" i="74"/>
  <c r="D12" i="74"/>
  <c r="D22" i="74"/>
  <c r="N7" i="74"/>
  <c r="L7" i="74"/>
  <c r="K7" i="74"/>
  <c r="J20" i="74"/>
  <c r="L20" i="74" s="1"/>
  <c r="J19" i="74"/>
  <c r="L19" i="74" s="1"/>
  <c r="J18" i="74"/>
  <c r="L18" i="74" s="1"/>
  <c r="J17" i="74"/>
  <c r="L17" i="74" s="1"/>
  <c r="J16" i="74"/>
  <c r="L16" i="74"/>
  <c r="F66" i="66"/>
  <c r="F55" i="66"/>
  <c r="F44" i="66"/>
  <c r="F34" i="66"/>
  <c r="BB7" i="68"/>
  <c r="G10" i="66"/>
  <c r="R5" i="66"/>
  <c r="G12" i="66" s="1"/>
  <c r="P5" i="66"/>
  <c r="L36" i="68" s="1"/>
  <c r="P36" i="68" s="1"/>
  <c r="K8" i="66"/>
  <c r="L34" i="65" s="1"/>
  <c r="N5" i="66"/>
  <c r="I10" i="66" s="1"/>
  <c r="D11" i="66"/>
  <c r="H30" i="71"/>
  <c r="D30" i="71"/>
  <c r="B30" i="71"/>
  <c r="D7" i="66"/>
  <c r="H21" i="71" s="1"/>
  <c r="F4" i="73"/>
  <c r="E4" i="73"/>
  <c r="D4" i="73"/>
  <c r="C4" i="73"/>
  <c r="L88" i="72"/>
  <c r="H88" i="72"/>
  <c r="E88" i="72"/>
  <c r="D88" i="72"/>
  <c r="B88" i="72"/>
  <c r="L87" i="72"/>
  <c r="H87" i="72"/>
  <c r="E87" i="72"/>
  <c r="D87" i="72"/>
  <c r="B87" i="72"/>
  <c r="L86" i="72"/>
  <c r="H86" i="72"/>
  <c r="E86" i="72"/>
  <c r="D86" i="72"/>
  <c r="B86" i="72"/>
  <c r="L85" i="72"/>
  <c r="H85" i="72"/>
  <c r="E85" i="72"/>
  <c r="D85" i="72"/>
  <c r="B85" i="72"/>
  <c r="L84" i="72"/>
  <c r="H84" i="72"/>
  <c r="E84" i="72"/>
  <c r="D84" i="72"/>
  <c r="B84" i="72"/>
  <c r="L83" i="72"/>
  <c r="H83" i="72"/>
  <c r="E83" i="72"/>
  <c r="D83" i="72"/>
  <c r="B83" i="72"/>
  <c r="L82" i="72"/>
  <c r="H82" i="72"/>
  <c r="E82" i="72"/>
  <c r="D82" i="72"/>
  <c r="B82" i="72"/>
  <c r="L81" i="72"/>
  <c r="H81" i="72"/>
  <c r="E81" i="72"/>
  <c r="D81" i="72"/>
  <c r="B81" i="72"/>
  <c r="L80" i="72"/>
  <c r="H80" i="72"/>
  <c r="E80" i="72"/>
  <c r="D80" i="72"/>
  <c r="B80" i="72"/>
  <c r="L79" i="72"/>
  <c r="H79" i="72"/>
  <c r="E79" i="72"/>
  <c r="D79" i="72"/>
  <c r="B79" i="72"/>
  <c r="L78" i="72"/>
  <c r="H78" i="72"/>
  <c r="E78" i="72"/>
  <c r="D78" i="72"/>
  <c r="B78" i="72"/>
  <c r="L77" i="72"/>
  <c r="H77" i="72"/>
  <c r="E77" i="72"/>
  <c r="D77" i="72"/>
  <c r="B77" i="72"/>
  <c r="L76" i="72"/>
  <c r="H76" i="72"/>
  <c r="E76" i="72"/>
  <c r="D76" i="72"/>
  <c r="B76" i="72"/>
  <c r="L75" i="72"/>
  <c r="H75" i="72"/>
  <c r="E75" i="72"/>
  <c r="D75" i="72"/>
  <c r="B75" i="72"/>
  <c r="L74" i="72"/>
  <c r="H74" i="72"/>
  <c r="E74" i="72"/>
  <c r="D74" i="72"/>
  <c r="B74" i="72"/>
  <c r="L72" i="72"/>
  <c r="H72" i="72"/>
  <c r="D72" i="72"/>
  <c r="B72" i="72"/>
  <c r="F38" i="72"/>
  <c r="L37" i="72"/>
  <c r="F37" i="72"/>
  <c r="B34" i="72"/>
  <c r="B33" i="72"/>
  <c r="B32" i="72"/>
  <c r="B31" i="72"/>
  <c r="B30" i="72"/>
  <c r="L29" i="72"/>
  <c r="B29" i="72"/>
  <c r="H19" i="72"/>
  <c r="H18" i="72"/>
  <c r="H17" i="72"/>
  <c r="H16" i="72"/>
  <c r="H15" i="72"/>
  <c r="H14" i="72"/>
  <c r="H13" i="72"/>
  <c r="H12" i="72"/>
  <c r="H10" i="72"/>
  <c r="H9" i="72"/>
  <c r="H8" i="72"/>
  <c r="H67" i="72"/>
  <c r="B35" i="71"/>
  <c r="B34" i="71"/>
  <c r="B33" i="71"/>
  <c r="B32" i="71"/>
  <c r="B31" i="71"/>
  <c r="L30" i="71"/>
  <c r="H20" i="71"/>
  <c r="H19" i="71"/>
  <c r="H18" i="71"/>
  <c r="H17" i="71"/>
  <c r="H16" i="71"/>
  <c r="H15" i="71"/>
  <c r="H14" i="71"/>
  <c r="H11" i="71"/>
  <c r="H10" i="71"/>
  <c r="H9" i="71"/>
  <c r="H63" i="71" s="1"/>
  <c r="L84" i="71"/>
  <c r="H84" i="71"/>
  <c r="E84" i="71"/>
  <c r="D84" i="71"/>
  <c r="B84" i="71"/>
  <c r="L83" i="71"/>
  <c r="H83" i="71"/>
  <c r="E83" i="71"/>
  <c r="D83" i="71"/>
  <c r="B83" i="71"/>
  <c r="L82" i="71"/>
  <c r="H82" i="71"/>
  <c r="E82" i="71"/>
  <c r="D82" i="71"/>
  <c r="B82" i="71"/>
  <c r="L81" i="71"/>
  <c r="H81" i="71"/>
  <c r="E81" i="71"/>
  <c r="D81" i="71"/>
  <c r="B81" i="71"/>
  <c r="L80" i="71"/>
  <c r="H80" i="71"/>
  <c r="E80" i="71"/>
  <c r="D80" i="71"/>
  <c r="B80" i="71"/>
  <c r="L79" i="71"/>
  <c r="H79" i="71"/>
  <c r="E79" i="71"/>
  <c r="D79" i="71"/>
  <c r="B79" i="71"/>
  <c r="L78" i="71"/>
  <c r="H78" i="71"/>
  <c r="E78" i="71"/>
  <c r="D78" i="71"/>
  <c r="B78" i="71"/>
  <c r="L77" i="71"/>
  <c r="H77" i="71"/>
  <c r="E77" i="71"/>
  <c r="D77" i="71"/>
  <c r="B77" i="71"/>
  <c r="L76" i="71"/>
  <c r="H76" i="71"/>
  <c r="E76" i="71"/>
  <c r="D76" i="71"/>
  <c r="B76" i="71"/>
  <c r="L75" i="71"/>
  <c r="H75" i="71"/>
  <c r="E75" i="71"/>
  <c r="D75" i="71"/>
  <c r="B75" i="71"/>
  <c r="L74" i="71"/>
  <c r="H74" i="71"/>
  <c r="E74" i="71"/>
  <c r="D74" i="71"/>
  <c r="B74" i="71"/>
  <c r="L73" i="71"/>
  <c r="H73" i="71"/>
  <c r="E73" i="71"/>
  <c r="D73" i="71"/>
  <c r="B73" i="71"/>
  <c r="L72" i="71"/>
  <c r="H72" i="71"/>
  <c r="E72" i="71"/>
  <c r="D72" i="71"/>
  <c r="B72" i="71"/>
  <c r="L71" i="71"/>
  <c r="H71" i="71"/>
  <c r="E71" i="71"/>
  <c r="D71" i="71"/>
  <c r="B71" i="71"/>
  <c r="L70" i="71"/>
  <c r="H70" i="71"/>
  <c r="E70" i="71"/>
  <c r="D70" i="71"/>
  <c r="B70" i="71"/>
  <c r="L68" i="71"/>
  <c r="H68" i="71"/>
  <c r="D68" i="71"/>
  <c r="B68" i="71"/>
  <c r="F39" i="71"/>
  <c r="L38" i="71"/>
  <c r="F38" i="71"/>
  <c r="H13" i="71"/>
  <c r="L4" i="59"/>
  <c r="BA41" i="59" s="1"/>
  <c r="BD41" i="59" s="1"/>
  <c r="L5" i="59"/>
  <c r="BA49" i="59" s="1"/>
  <c r="BD49" i="59" s="1"/>
  <c r="AC144" i="69"/>
  <c r="AC143" i="69" s="1"/>
  <c r="AE143" i="69" s="1"/>
  <c r="AC164" i="69"/>
  <c r="AC163" i="69" s="1"/>
  <c r="AB163" i="69" s="1"/>
  <c r="AC184" i="69"/>
  <c r="AN184" i="69" s="1"/>
  <c r="AC183" i="69"/>
  <c r="AE183" i="69" s="1"/>
  <c r="AC204" i="69"/>
  <c r="AC224" i="69"/>
  <c r="X144" i="69"/>
  <c r="X143" i="69" s="1"/>
  <c r="X164" i="69"/>
  <c r="X184" i="69"/>
  <c r="X183" i="69" s="1"/>
  <c r="X204" i="69"/>
  <c r="X203" i="69"/>
  <c r="X224" i="69"/>
  <c r="D212" i="69"/>
  <c r="D211" i="69" s="1"/>
  <c r="AI204" i="69"/>
  <c r="AI203" i="69"/>
  <c r="AJ203" i="69" s="1"/>
  <c r="AT204" i="69"/>
  <c r="AT203" i="69" s="1"/>
  <c r="D195" i="69"/>
  <c r="D194" i="69"/>
  <c r="AI184" i="69"/>
  <c r="AT184" i="69"/>
  <c r="AT183" i="69" s="1"/>
  <c r="AV183" i="69" s="1"/>
  <c r="D178" i="69"/>
  <c r="D177" i="69" s="1"/>
  <c r="Q177" i="69"/>
  <c r="Q176" i="69"/>
  <c r="L177" i="69"/>
  <c r="L176" i="69"/>
  <c r="AN164" i="69"/>
  <c r="AY164" i="69" s="1"/>
  <c r="AY163" i="69" s="1"/>
  <c r="Q162" i="69"/>
  <c r="Q161" i="69" s="1"/>
  <c r="L162" i="69"/>
  <c r="L161" i="69" s="1"/>
  <c r="D161" i="69"/>
  <c r="D160" i="69" s="1"/>
  <c r="E160" i="69" s="1"/>
  <c r="AN144" i="69"/>
  <c r="AY144" i="69"/>
  <c r="AY143" i="69"/>
  <c r="AN143" i="69"/>
  <c r="AP143" i="69" s="1"/>
  <c r="Q144" i="69"/>
  <c r="Q143" i="69" s="1"/>
  <c r="P143" i="69" s="1"/>
  <c r="L144" i="69"/>
  <c r="L143" i="69"/>
  <c r="K143" i="69"/>
  <c r="L145" i="69" s="1"/>
  <c r="D144" i="69"/>
  <c r="D143" i="69" s="1"/>
  <c r="AC144" i="68"/>
  <c r="AN144" i="68" s="1"/>
  <c r="AC164" i="68"/>
  <c r="AN164" i="68" s="1"/>
  <c r="AY164" i="68" s="1"/>
  <c r="AY163" i="68" s="1"/>
  <c r="AC163" i="68"/>
  <c r="AE163" i="68"/>
  <c r="AC184" i="68"/>
  <c r="AN184" i="68"/>
  <c r="AC183" i="68"/>
  <c r="AC204" i="68"/>
  <c r="AC224" i="68"/>
  <c r="AC223" i="68" s="1"/>
  <c r="X144" i="68"/>
  <c r="X143" i="68" s="1"/>
  <c r="Z143" i="68" s="1"/>
  <c r="X164" i="68"/>
  <c r="X184" i="68"/>
  <c r="AI184" i="68" s="1"/>
  <c r="X183" i="68"/>
  <c r="Z183" i="68"/>
  <c r="X204" i="68"/>
  <c r="X224" i="68"/>
  <c r="AN224" i="68"/>
  <c r="AY224" i="68" s="1"/>
  <c r="AY223" i="68" s="1"/>
  <c r="D212" i="68"/>
  <c r="D211" i="68"/>
  <c r="C211" i="68" s="1"/>
  <c r="F211" i="68"/>
  <c r="D195" i="68"/>
  <c r="D194" i="68" s="1"/>
  <c r="D178" i="68"/>
  <c r="D177" i="68" s="1"/>
  <c r="Q177" i="68"/>
  <c r="Q176" i="68"/>
  <c r="P176" i="68" s="1"/>
  <c r="L177" i="68"/>
  <c r="L176" i="68" s="1"/>
  <c r="Q162" i="68"/>
  <c r="Q161" i="68" s="1"/>
  <c r="L162" i="68"/>
  <c r="L161" i="68" s="1"/>
  <c r="D161" i="68"/>
  <c r="D160" i="68"/>
  <c r="E160" i="68"/>
  <c r="AI144" i="68"/>
  <c r="AI143" i="68" s="1"/>
  <c r="AT144" i="68"/>
  <c r="AT143" i="68" s="1"/>
  <c r="Q144" i="68"/>
  <c r="Q143" i="68" s="1"/>
  <c r="L144" i="68"/>
  <c r="L143" i="68" s="1"/>
  <c r="D144" i="68"/>
  <c r="D143" i="68"/>
  <c r="AC144" i="67"/>
  <c r="AC143" i="67" s="1"/>
  <c r="AD143" i="67" s="1"/>
  <c r="AC164" i="67"/>
  <c r="AC163" i="67" s="1"/>
  <c r="AB163" i="67" s="1"/>
  <c r="AC184" i="67"/>
  <c r="AN184" i="67"/>
  <c r="AC183" i="67"/>
  <c r="AC204" i="67"/>
  <c r="AC224" i="67"/>
  <c r="AN224" i="67" s="1"/>
  <c r="AN223" i="67" s="1"/>
  <c r="X144" i="67"/>
  <c r="AI144" i="67" s="1"/>
  <c r="X164" i="67"/>
  <c r="AI164" i="67" s="1"/>
  <c r="X163" i="67"/>
  <c r="X184" i="67"/>
  <c r="X204" i="67"/>
  <c r="X203" i="67" s="1"/>
  <c r="X224" i="67"/>
  <c r="D212" i="67"/>
  <c r="D211" i="67"/>
  <c r="AI204" i="67"/>
  <c r="AT204" i="67" s="1"/>
  <c r="AT203" i="67" s="1"/>
  <c r="AI203" i="67"/>
  <c r="AJ203" i="67" s="1"/>
  <c r="D195" i="67"/>
  <c r="D194" i="67"/>
  <c r="D178" i="67"/>
  <c r="D177" i="67"/>
  <c r="C177" i="67"/>
  <c r="F177" i="67"/>
  <c r="Q177" i="67"/>
  <c r="Q176" i="67" s="1"/>
  <c r="R176" i="67" s="1"/>
  <c r="L177" i="67"/>
  <c r="L176" i="67" s="1"/>
  <c r="AN164" i="67"/>
  <c r="AY164" i="67"/>
  <c r="AY163" i="67"/>
  <c r="AN163" i="67"/>
  <c r="AM163" i="67" s="1"/>
  <c r="AM165" i="67" s="1"/>
  <c r="Q162" i="67"/>
  <c r="Q161" i="67"/>
  <c r="P161" i="67"/>
  <c r="L162" i="67"/>
  <c r="L161" i="67"/>
  <c r="M161" i="67" s="1"/>
  <c r="K161" i="67"/>
  <c r="K163" i="67"/>
  <c r="D161" i="67"/>
  <c r="D160" i="67"/>
  <c r="Q144" i="67"/>
  <c r="Q143" i="67" s="1"/>
  <c r="P143" i="67" s="1"/>
  <c r="L144" i="67"/>
  <c r="L143" i="67"/>
  <c r="M143" i="67" s="1"/>
  <c r="D144" i="67"/>
  <c r="D143" i="67"/>
  <c r="C143" i="67" s="1"/>
  <c r="D145" i="67" s="1"/>
  <c r="AC164" i="65"/>
  <c r="AC163" i="65"/>
  <c r="AD163" i="65"/>
  <c r="AB163" i="65"/>
  <c r="AC144" i="59"/>
  <c r="X144" i="65"/>
  <c r="X143" i="65"/>
  <c r="W143" i="65" s="1"/>
  <c r="X164" i="65"/>
  <c r="X163" i="65" s="1"/>
  <c r="AC224" i="65"/>
  <c r="AN224" i="65"/>
  <c r="AY224" i="65"/>
  <c r="AY223" i="65"/>
  <c r="X224" i="65"/>
  <c r="AI224" i="65" s="1"/>
  <c r="X223" i="65"/>
  <c r="D212" i="65"/>
  <c r="D211" i="65"/>
  <c r="F211" i="65"/>
  <c r="AC204" i="65"/>
  <c r="X204" i="65"/>
  <c r="X203" i="65" s="1"/>
  <c r="D195" i="65"/>
  <c r="D194" i="65"/>
  <c r="E194" i="65"/>
  <c r="AC184" i="65"/>
  <c r="AN184" i="65" s="1"/>
  <c r="X184" i="65"/>
  <c r="AI184" i="65"/>
  <c r="X183" i="65"/>
  <c r="AI183" i="65"/>
  <c r="AC183" i="65"/>
  <c r="AB183" i="65" s="1"/>
  <c r="AD183" i="65"/>
  <c r="D178" i="65"/>
  <c r="D177" i="65" s="1"/>
  <c r="E177" i="65" s="1"/>
  <c r="Q177" i="65"/>
  <c r="Q176" i="65"/>
  <c r="L177" i="65"/>
  <c r="L176" i="65"/>
  <c r="M176" i="65" s="1"/>
  <c r="AN164" i="65"/>
  <c r="AY164" i="65"/>
  <c r="AY163" i="65"/>
  <c r="AI164" i="65"/>
  <c r="AE163" i="65"/>
  <c r="Q162" i="65"/>
  <c r="Q161" i="65" s="1"/>
  <c r="L162" i="65"/>
  <c r="L161" i="65"/>
  <c r="M161" i="65" s="1"/>
  <c r="D161" i="65"/>
  <c r="D160" i="65" s="1"/>
  <c r="AC144" i="65"/>
  <c r="AI144" i="65"/>
  <c r="AI143" i="65" s="1"/>
  <c r="AK143" i="65" s="1"/>
  <c r="AT144" i="65"/>
  <c r="AT143" i="65" s="1"/>
  <c r="Q144" i="65"/>
  <c r="Q143" i="65" s="1"/>
  <c r="S143" i="65" s="1"/>
  <c r="L144" i="65"/>
  <c r="L143" i="65" s="1"/>
  <c r="D144" i="65"/>
  <c r="D143" i="65" s="1"/>
  <c r="D144" i="59"/>
  <c r="D143" i="59"/>
  <c r="F143" i="59"/>
  <c r="AC164" i="59"/>
  <c r="AC163" i="59" s="1"/>
  <c r="AC184" i="59"/>
  <c r="AC183" i="59" s="1"/>
  <c r="AC204" i="59"/>
  <c r="AN204" i="59"/>
  <c r="AY204" i="59"/>
  <c r="AY203" i="59" s="1"/>
  <c r="AC203" i="59"/>
  <c r="AC224" i="59"/>
  <c r="X144" i="59"/>
  <c r="X143" i="59" s="1"/>
  <c r="W143" i="59" s="1"/>
  <c r="X164" i="59"/>
  <c r="X163" i="59"/>
  <c r="X184" i="59"/>
  <c r="AI184" i="59" s="1"/>
  <c r="X183" i="59"/>
  <c r="X204" i="59"/>
  <c r="X203" i="59" s="1"/>
  <c r="X224" i="59"/>
  <c r="X223" i="59"/>
  <c r="AI224" i="59"/>
  <c r="D212" i="59"/>
  <c r="D211" i="59"/>
  <c r="F211" i="59" s="1"/>
  <c r="D195" i="59"/>
  <c r="D194" i="59" s="1"/>
  <c r="C194" i="59" s="1"/>
  <c r="D178" i="59"/>
  <c r="D177" i="59"/>
  <c r="F177" i="59" s="1"/>
  <c r="Q177" i="59"/>
  <c r="Q176" i="59" s="1"/>
  <c r="L177" i="59"/>
  <c r="L176" i="59"/>
  <c r="Q162" i="59"/>
  <c r="Q161" i="59"/>
  <c r="L162" i="59"/>
  <c r="L161" i="59"/>
  <c r="D161" i="59"/>
  <c r="D160" i="59" s="1"/>
  <c r="Q144" i="59"/>
  <c r="Q143" i="59" s="1"/>
  <c r="L144" i="59"/>
  <c r="L143" i="59"/>
  <c r="L5" i="68"/>
  <c r="BA49" i="68" s="1"/>
  <c r="BD49" i="68" s="1"/>
  <c r="L5" i="65"/>
  <c r="BA49" i="65" s="1"/>
  <c r="BD49" i="65" s="1"/>
  <c r="L4" i="69"/>
  <c r="BA41" i="69" s="1"/>
  <c r="BD41" i="69" s="1"/>
  <c r="L4" i="65"/>
  <c r="BA41" i="65" s="1"/>
  <c r="BD41" i="65" s="1"/>
  <c r="L5" i="69"/>
  <c r="BA49" i="69" s="1"/>
  <c r="BD49" i="69" s="1"/>
  <c r="L3" i="69"/>
  <c r="BA33" i="69" s="1"/>
  <c r="BD33" i="69" s="1"/>
  <c r="L4" i="67"/>
  <c r="BA41" i="67" s="1"/>
  <c r="BD41" i="67" s="1"/>
  <c r="L5" i="67"/>
  <c r="BA49" i="67" s="1"/>
  <c r="BD49" i="67" s="1"/>
  <c r="L3" i="67"/>
  <c r="BA33" i="67" s="1"/>
  <c r="BD33" i="67" s="1"/>
  <c r="L4" i="68"/>
  <c r="BA41" i="68" s="1"/>
  <c r="BD41" i="68" s="1"/>
  <c r="L3" i="68"/>
  <c r="BA33" i="68" s="1"/>
  <c r="BD33" i="68" s="1"/>
  <c r="L3" i="65"/>
  <c r="BA33" i="65" s="1"/>
  <c r="BD33" i="65" s="1"/>
  <c r="R80" i="69"/>
  <c r="Q80" i="69"/>
  <c r="P80" i="69"/>
  <c r="P121" i="69"/>
  <c r="P120" i="69" s="1"/>
  <c r="P119" i="69" s="1"/>
  <c r="O80" i="69"/>
  <c r="O121" i="69"/>
  <c r="O120" i="69"/>
  <c r="N80" i="69"/>
  <c r="BB60" i="69"/>
  <c r="BB61" i="69" s="1"/>
  <c r="BB49" i="69"/>
  <c r="BB50" i="69" s="1"/>
  <c r="BB41" i="69"/>
  <c r="BB42" i="69"/>
  <c r="BB33" i="69"/>
  <c r="BB34" i="69" s="1"/>
  <c r="BB25" i="69"/>
  <c r="BB26" i="69"/>
  <c r="B19" i="69"/>
  <c r="C19" i="69" s="1"/>
  <c r="BB16" i="69"/>
  <c r="BB7" i="69"/>
  <c r="R80" i="68"/>
  <c r="Q80" i="68"/>
  <c r="P80" i="68"/>
  <c r="O80" i="68"/>
  <c r="N80" i="68"/>
  <c r="BB60" i="68"/>
  <c r="BB61" i="68" s="1"/>
  <c r="BB49" i="68"/>
  <c r="BB50" i="68"/>
  <c r="BB41" i="68"/>
  <c r="BB42" i="68" s="1"/>
  <c r="BB33" i="68"/>
  <c r="BB34" i="68" s="1"/>
  <c r="BB25" i="68"/>
  <c r="BB26" i="68" s="1"/>
  <c r="B19" i="68"/>
  <c r="C19" i="68" s="1"/>
  <c r="BB16" i="68"/>
  <c r="R80" i="67"/>
  <c r="R121" i="67"/>
  <c r="R120" i="67"/>
  <c r="R119" i="67" s="1"/>
  <c r="R118" i="67" s="1"/>
  <c r="Q80" i="67"/>
  <c r="P80" i="67"/>
  <c r="O80" i="67"/>
  <c r="O121" i="67" s="1"/>
  <c r="O120" i="67" s="1"/>
  <c r="N80" i="67"/>
  <c r="BB60" i="67"/>
  <c r="BB61" i="67"/>
  <c r="BB49" i="67"/>
  <c r="BB50" i="67" s="1"/>
  <c r="BB41" i="67"/>
  <c r="BB42" i="67"/>
  <c r="BB33" i="67"/>
  <c r="BB34" i="67" s="1"/>
  <c r="BB25" i="67"/>
  <c r="BB26" i="67" s="1"/>
  <c r="B19" i="67"/>
  <c r="C19" i="67" s="1"/>
  <c r="BB16" i="67"/>
  <c r="BB7" i="67"/>
  <c r="R80" i="65"/>
  <c r="R121" i="65" s="1"/>
  <c r="R120" i="65" s="1"/>
  <c r="Q80" i="65"/>
  <c r="P80" i="65"/>
  <c r="O80" i="65"/>
  <c r="N80" i="65"/>
  <c r="N121" i="65" s="1"/>
  <c r="BB60" i="65"/>
  <c r="BB61" i="65" s="1"/>
  <c r="BB49" i="65"/>
  <c r="BB50" i="65"/>
  <c r="BB41" i="65"/>
  <c r="BB42" i="65" s="1"/>
  <c r="BB33" i="65"/>
  <c r="BB34" i="65"/>
  <c r="BB25" i="65"/>
  <c r="BB26" i="65"/>
  <c r="B19" i="65"/>
  <c r="C19" i="65" s="1"/>
  <c r="BB16" i="65"/>
  <c r="BB7" i="65"/>
  <c r="BA33" i="59"/>
  <c r="BD33" i="59"/>
  <c r="BB60" i="59"/>
  <c r="BB61" i="59"/>
  <c r="BB49" i="59"/>
  <c r="BB50" i="59"/>
  <c r="BB41" i="59"/>
  <c r="BB42" i="59" s="1"/>
  <c r="BB33" i="59"/>
  <c r="BB34" i="59" s="1"/>
  <c r="BB25" i="59"/>
  <c r="BB26" i="59"/>
  <c r="BB16" i="59"/>
  <c r="BB7" i="59"/>
  <c r="B19" i="59"/>
  <c r="C19" i="59" s="1"/>
  <c r="E26" i="66"/>
  <c r="E37" i="66"/>
  <c r="E47" i="66" s="1"/>
  <c r="E58" i="66" s="1"/>
  <c r="E69" i="66" s="1"/>
  <c r="R80" i="59"/>
  <c r="R121" i="59"/>
  <c r="Q80" i="59"/>
  <c r="P80" i="59"/>
  <c r="O80" i="59"/>
  <c r="N80" i="59"/>
  <c r="Q121" i="69"/>
  <c r="Q120" i="69" s="1"/>
  <c r="Q119" i="69" s="1"/>
  <c r="Q118" i="69" s="1"/>
  <c r="Q117" i="69" s="1"/>
  <c r="Q116" i="69" s="1"/>
  <c r="Q115" i="69" s="1"/>
  <c r="Q114" i="69" s="1"/>
  <c r="Q113" i="69" s="1"/>
  <c r="Q112" i="69" s="1"/>
  <c r="Q111" i="69" s="1"/>
  <c r="Q110" i="69" s="1"/>
  <c r="Q109" i="69" s="1"/>
  <c r="Q108" i="69" s="1"/>
  <c r="Q107" i="69" s="1"/>
  <c r="Q106" i="69" s="1"/>
  <c r="Q105" i="69" s="1"/>
  <c r="Q104" i="69" s="1"/>
  <c r="Q103" i="69" s="1"/>
  <c r="Q102" i="69" s="1"/>
  <c r="Q101" i="69" s="1"/>
  <c r="Q100" i="69" s="1"/>
  <c r="Q99" i="69" s="1"/>
  <c r="Q98" i="69" s="1"/>
  <c r="Q97" i="69" s="1"/>
  <c r="Q96" i="69" s="1"/>
  <c r="Q95" i="69" s="1"/>
  <c r="Q94" i="69" s="1"/>
  <c r="Q93" i="69" s="1"/>
  <c r="Q92" i="69"/>
  <c r="Q91" i="69" s="1"/>
  <c r="Q90" i="69" s="1"/>
  <c r="Q89" i="69" s="1"/>
  <c r="Q88" i="69" s="1"/>
  <c r="Q87" i="69" s="1"/>
  <c r="Q86" i="69" s="1"/>
  <c r="Q85" i="69" s="1"/>
  <c r="Q84" i="69" s="1"/>
  <c r="Q83" i="69" s="1"/>
  <c r="Q82" i="69" s="1"/>
  <c r="Q81" i="69" s="1"/>
  <c r="Q121" i="68"/>
  <c r="Q120" i="68" s="1"/>
  <c r="Q119" i="68" s="1"/>
  <c r="Q118" i="68" s="1"/>
  <c r="Q117" i="68" s="1"/>
  <c r="Q116" i="68" s="1"/>
  <c r="Q115" i="68" s="1"/>
  <c r="Q114" i="68" s="1"/>
  <c r="Q113" i="68" s="1"/>
  <c r="Q112" i="68"/>
  <c r="Q111" i="68" s="1"/>
  <c r="Q110" i="68" s="1"/>
  <c r="Q109" i="68" s="1"/>
  <c r="Q108" i="68" s="1"/>
  <c r="Q107" i="68" s="1"/>
  <c r="Q106" i="68" s="1"/>
  <c r="Q105" i="68" s="1"/>
  <c r="Q104" i="68" s="1"/>
  <c r="Q103" i="68" s="1"/>
  <c r="Q102" i="68" s="1"/>
  <c r="Q101" i="68" s="1"/>
  <c r="Q100" i="68" s="1"/>
  <c r="Q99" i="68" s="1"/>
  <c r="Q98" i="68" s="1"/>
  <c r="Q97" i="68" s="1"/>
  <c r="Q96" i="68" s="1"/>
  <c r="Q95" i="68" s="1"/>
  <c r="Q94" i="68" s="1"/>
  <c r="Q93" i="68" s="1"/>
  <c r="Q92" i="68" s="1"/>
  <c r="Q91" i="68" s="1"/>
  <c r="Q90" i="68" s="1"/>
  <c r="Q89" i="68" s="1"/>
  <c r="Q88" i="68" s="1"/>
  <c r="Q87" i="68" s="1"/>
  <c r="Q86" i="68" s="1"/>
  <c r="Q85" i="68" s="1"/>
  <c r="Q84" i="68" s="1"/>
  <c r="Q83" i="68" s="1"/>
  <c r="Q82" i="68" s="1"/>
  <c r="Q81" i="68" s="1"/>
  <c r="O119" i="69"/>
  <c r="O118" i="69"/>
  <c r="O117" i="69" s="1"/>
  <c r="O116" i="69" s="1"/>
  <c r="O115" i="69" s="1"/>
  <c r="O114" i="69" s="1"/>
  <c r="O113" i="69" s="1"/>
  <c r="O112" i="69" s="1"/>
  <c r="O111" i="69" s="1"/>
  <c r="O110" i="69" s="1"/>
  <c r="O109" i="69" s="1"/>
  <c r="O108" i="69" s="1"/>
  <c r="O107" i="69" s="1"/>
  <c r="O106" i="69" s="1"/>
  <c r="O105" i="69" s="1"/>
  <c r="O104" i="69" s="1"/>
  <c r="O103" i="69" s="1"/>
  <c r="O102" i="69" s="1"/>
  <c r="O101" i="69" s="1"/>
  <c r="O100" i="69" s="1"/>
  <c r="O99" i="69" s="1"/>
  <c r="O98" i="69" s="1"/>
  <c r="O97" i="69" s="1"/>
  <c r="O96" i="69" s="1"/>
  <c r="O95" i="69" s="1"/>
  <c r="O94" i="69" s="1"/>
  <c r="O93" i="69" s="1"/>
  <c r="O92" i="69" s="1"/>
  <c r="O91" i="69" s="1"/>
  <c r="O90" i="69" s="1"/>
  <c r="O89" i="69" s="1"/>
  <c r="O88" i="69" s="1"/>
  <c r="O87" i="69" s="1"/>
  <c r="O86" i="69" s="1"/>
  <c r="O85" i="69" s="1"/>
  <c r="O84" i="69" s="1"/>
  <c r="O83" i="69" s="1"/>
  <c r="O82" i="69" s="1"/>
  <c r="O81" i="69" s="1"/>
  <c r="R120" i="59"/>
  <c r="R119" i="59"/>
  <c r="R118" i="59" s="1"/>
  <c r="R117" i="59"/>
  <c r="R116" i="59" s="1"/>
  <c r="R115" i="59" s="1"/>
  <c r="R114" i="59"/>
  <c r="R113" i="59" s="1"/>
  <c r="R112" i="59" s="1"/>
  <c r="R111" i="59" s="1"/>
  <c r="R110" i="59" s="1"/>
  <c r="R109" i="59" s="1"/>
  <c r="R108" i="59" s="1"/>
  <c r="R107" i="59" s="1"/>
  <c r="R106" i="59" s="1"/>
  <c r="R105" i="59" s="1"/>
  <c r="R104" i="59" s="1"/>
  <c r="R103" i="59" s="1"/>
  <c r="R102" i="59" s="1"/>
  <c r="R101" i="59" s="1"/>
  <c r="R100" i="59" s="1"/>
  <c r="R99" i="59" s="1"/>
  <c r="R98" i="59" s="1"/>
  <c r="R97" i="59" s="1"/>
  <c r="R96" i="59" s="1"/>
  <c r="R95" i="59" s="1"/>
  <c r="R94" i="59" s="1"/>
  <c r="R93" i="59" s="1"/>
  <c r="R92" i="59" s="1"/>
  <c r="R91" i="59" s="1"/>
  <c r="R90" i="59" s="1"/>
  <c r="R89" i="59" s="1"/>
  <c r="R88" i="59" s="1"/>
  <c r="R87" i="59" s="1"/>
  <c r="R86" i="59" s="1"/>
  <c r="R85" i="59" s="1"/>
  <c r="R84" i="59" s="1"/>
  <c r="R83" i="59" s="1"/>
  <c r="R82" i="59" s="1"/>
  <c r="R81" i="59" s="1"/>
  <c r="D37" i="66"/>
  <c r="D47" i="66" s="1"/>
  <c r="D58" i="66" s="1"/>
  <c r="D69" i="66" s="1"/>
  <c r="Q121" i="59"/>
  <c r="Q120" i="59" s="1"/>
  <c r="Q119" i="59" s="1"/>
  <c r="O121" i="68"/>
  <c r="O120" i="68"/>
  <c r="O119" i="68" s="1"/>
  <c r="O118" i="68" s="1"/>
  <c r="O117" i="68"/>
  <c r="O116" i="68"/>
  <c r="O115" i="68"/>
  <c r="O114" i="68" s="1"/>
  <c r="O113" i="68" s="1"/>
  <c r="O112" i="68" s="1"/>
  <c r="O111" i="68" s="1"/>
  <c r="O110" i="68" s="1"/>
  <c r="O109" i="68" s="1"/>
  <c r="O108" i="68" s="1"/>
  <c r="O107" i="68" s="1"/>
  <c r="O106" i="68" s="1"/>
  <c r="O105" i="68" s="1"/>
  <c r="O104" i="68" s="1"/>
  <c r="O103" i="68" s="1"/>
  <c r="O102" i="68" s="1"/>
  <c r="O101" i="68" s="1"/>
  <c r="O100" i="68" s="1"/>
  <c r="O99" i="68" s="1"/>
  <c r="O98" i="68" s="1"/>
  <c r="O97" i="68" s="1"/>
  <c r="O96" i="68" s="1"/>
  <c r="O95" i="68" s="1"/>
  <c r="O94" i="68" s="1"/>
  <c r="O93" i="68" s="1"/>
  <c r="O92" i="68" s="1"/>
  <c r="O91" i="68" s="1"/>
  <c r="O90" i="68" s="1"/>
  <c r="O89" i="68" s="1"/>
  <c r="O88" i="68" s="1"/>
  <c r="O87" i="68" s="1"/>
  <c r="O86" i="68" s="1"/>
  <c r="O85" i="68" s="1"/>
  <c r="O84" i="68" s="1"/>
  <c r="O83" i="68" s="1"/>
  <c r="O82" i="68" s="1"/>
  <c r="O81" i="68" s="1"/>
  <c r="R119" i="65"/>
  <c r="R118" i="65" s="1"/>
  <c r="R117" i="65" s="1"/>
  <c r="R116" i="65" s="1"/>
  <c r="R115" i="65" s="1"/>
  <c r="R114" i="65" s="1"/>
  <c r="R113" i="65" s="1"/>
  <c r="R112" i="65" s="1"/>
  <c r="R111" i="65" s="1"/>
  <c r="R110" i="65" s="1"/>
  <c r="R109" i="65" s="1"/>
  <c r="R108" i="65" s="1"/>
  <c r="R107" i="65" s="1"/>
  <c r="R106" i="65" s="1"/>
  <c r="R105" i="65" s="1"/>
  <c r="R104" i="65" s="1"/>
  <c r="R103" i="65" s="1"/>
  <c r="R102" i="65" s="1"/>
  <c r="R101" i="65" s="1"/>
  <c r="R100" i="65" s="1"/>
  <c r="R99" i="65" s="1"/>
  <c r="R98" i="65" s="1"/>
  <c r="R97" i="65" s="1"/>
  <c r="R96" i="65" s="1"/>
  <c r="R95" i="65" s="1"/>
  <c r="R94" i="65" s="1"/>
  <c r="R93" i="65" s="1"/>
  <c r="R92" i="65" s="1"/>
  <c r="R91" i="65" s="1"/>
  <c r="R90" i="65" s="1"/>
  <c r="R89" i="65" s="1"/>
  <c r="R88" i="65" s="1"/>
  <c r="R87" i="65" s="1"/>
  <c r="R86" i="65" s="1"/>
  <c r="R85" i="65" s="1"/>
  <c r="R84" i="65" s="1"/>
  <c r="R83" i="65" s="1"/>
  <c r="R82" i="65" s="1"/>
  <c r="R81" i="65" s="1"/>
  <c r="R117" i="67"/>
  <c r="R116" i="67"/>
  <c r="R115" i="67" s="1"/>
  <c r="R114" i="67" s="1"/>
  <c r="R113" i="67" s="1"/>
  <c r="R112" i="67" s="1"/>
  <c r="R111" i="67" s="1"/>
  <c r="R110" i="67" s="1"/>
  <c r="R109" i="67"/>
  <c r="R108" i="67" s="1"/>
  <c r="R107" i="67" s="1"/>
  <c r="R106" i="67" s="1"/>
  <c r="R105" i="67" s="1"/>
  <c r="R104" i="67" s="1"/>
  <c r="R103" i="67" s="1"/>
  <c r="R102" i="67" s="1"/>
  <c r="R101" i="67" s="1"/>
  <c r="R100" i="67" s="1"/>
  <c r="R99" i="67" s="1"/>
  <c r="R98" i="67" s="1"/>
  <c r="R97" i="67" s="1"/>
  <c r="R96" i="67" s="1"/>
  <c r="R95" i="67" s="1"/>
  <c r="R94" i="67" s="1"/>
  <c r="R93" i="67" s="1"/>
  <c r="R92" i="67" s="1"/>
  <c r="R91" i="67" s="1"/>
  <c r="R90" i="67" s="1"/>
  <c r="R89" i="67" s="1"/>
  <c r="R88" i="67" s="1"/>
  <c r="R87" i="67" s="1"/>
  <c r="R86" i="67" s="1"/>
  <c r="R85" i="67" s="1"/>
  <c r="R84" i="67" s="1"/>
  <c r="R83" i="67" s="1"/>
  <c r="R82" i="67" s="1"/>
  <c r="R81" i="67" s="1"/>
  <c r="P121" i="68"/>
  <c r="P120" i="68" s="1"/>
  <c r="P119" i="68" s="1"/>
  <c r="P118" i="68" s="1"/>
  <c r="P117" i="68" s="1"/>
  <c r="P116" i="68" s="1"/>
  <c r="P115" i="68" s="1"/>
  <c r="P114" i="68"/>
  <c r="P113" i="68" s="1"/>
  <c r="P112" i="68" s="1"/>
  <c r="P111" i="68" s="1"/>
  <c r="P110" i="68" s="1"/>
  <c r="P109" i="68" s="1"/>
  <c r="P108" i="68" s="1"/>
  <c r="P107" i="68" s="1"/>
  <c r="P106" i="68" s="1"/>
  <c r="P105" i="68" s="1"/>
  <c r="P104" i="68" s="1"/>
  <c r="P103" i="68" s="1"/>
  <c r="P102" i="68" s="1"/>
  <c r="P101" i="68" s="1"/>
  <c r="P100" i="68" s="1"/>
  <c r="P99" i="68" s="1"/>
  <c r="P98" i="68" s="1"/>
  <c r="P97" i="68" s="1"/>
  <c r="P96" i="68" s="1"/>
  <c r="P95" i="68" s="1"/>
  <c r="P94" i="68" s="1"/>
  <c r="P93" i="68" s="1"/>
  <c r="P92" i="68" s="1"/>
  <c r="P91" i="68" s="1"/>
  <c r="P90" i="68" s="1"/>
  <c r="P89" i="68" s="1"/>
  <c r="P88" i="68" s="1"/>
  <c r="P87" i="68" s="1"/>
  <c r="P86" i="68" s="1"/>
  <c r="P85" i="68" s="1"/>
  <c r="P84" i="68" s="1"/>
  <c r="P83" i="68" s="1"/>
  <c r="P82" i="68" s="1"/>
  <c r="P81" i="68" s="1"/>
  <c r="R121" i="69"/>
  <c r="R120" i="69" s="1"/>
  <c r="R119" i="69" s="1"/>
  <c r="R118" i="69" s="1"/>
  <c r="R117" i="69"/>
  <c r="R116" i="69" s="1"/>
  <c r="R115" i="69" s="1"/>
  <c r="R114" i="69" s="1"/>
  <c r="R113" i="69" s="1"/>
  <c r="R112" i="69" s="1"/>
  <c r="R111" i="69" s="1"/>
  <c r="R110" i="69" s="1"/>
  <c r="R109" i="69" s="1"/>
  <c r="R108" i="69"/>
  <c r="R107" i="69" s="1"/>
  <c r="R106" i="69" s="1"/>
  <c r="R105" i="69" s="1"/>
  <c r="R104" i="69" s="1"/>
  <c r="R103" i="69" s="1"/>
  <c r="R102" i="69" s="1"/>
  <c r="R101" i="69" s="1"/>
  <c r="R100" i="69" s="1"/>
  <c r="R99" i="69" s="1"/>
  <c r="R98" i="69" s="1"/>
  <c r="R97" i="69" s="1"/>
  <c r="R96" i="69" s="1"/>
  <c r="R95" i="69" s="1"/>
  <c r="R94" i="69" s="1"/>
  <c r="R93" i="69" s="1"/>
  <c r="R92" i="69" s="1"/>
  <c r="R91" i="69" s="1"/>
  <c r="R90" i="69" s="1"/>
  <c r="R89" i="69" s="1"/>
  <c r="R88" i="69" s="1"/>
  <c r="R87" i="69" s="1"/>
  <c r="R86" i="69" s="1"/>
  <c r="R85" i="69" s="1"/>
  <c r="R84" i="69" s="1"/>
  <c r="R83" i="69" s="1"/>
  <c r="R82" i="69" s="1"/>
  <c r="R81" i="69" s="1"/>
  <c r="N121" i="68"/>
  <c r="N120" i="68"/>
  <c r="N119" i="68" s="1"/>
  <c r="N118" i="68" s="1"/>
  <c r="N117" i="68" s="1"/>
  <c r="N116" i="68" s="1"/>
  <c r="N115" i="68"/>
  <c r="N114" i="68"/>
  <c r="N113" i="68" s="1"/>
  <c r="N112" i="68" s="1"/>
  <c r="N111" i="68" s="1"/>
  <c r="N110" i="68" s="1"/>
  <c r="N109" i="68" s="1"/>
  <c r="N108" i="68" s="1"/>
  <c r="N107" i="68" s="1"/>
  <c r="N106" i="68" s="1"/>
  <c r="N105" i="68" s="1"/>
  <c r="N104" i="68" s="1"/>
  <c r="N103" i="68" s="1"/>
  <c r="N102" i="68" s="1"/>
  <c r="N101" i="68" s="1"/>
  <c r="N100" i="68" s="1"/>
  <c r="N99" i="68" s="1"/>
  <c r="N98" i="68" s="1"/>
  <c r="N97" i="68" s="1"/>
  <c r="N96" i="68" s="1"/>
  <c r="N95" i="68" s="1"/>
  <c r="N94" i="68" s="1"/>
  <c r="N93" i="68" s="1"/>
  <c r="N92" i="68" s="1"/>
  <c r="N91" i="68" s="1"/>
  <c r="N90" i="68" s="1"/>
  <c r="N89" i="68" s="1"/>
  <c r="N88" i="68" s="1"/>
  <c r="N87" i="68" s="1"/>
  <c r="N86" i="68" s="1"/>
  <c r="N85" i="68" s="1"/>
  <c r="N84" i="68" s="1"/>
  <c r="N83" i="68" s="1"/>
  <c r="N82" i="68" s="1"/>
  <c r="N81" i="68" s="1"/>
  <c r="S143" i="59"/>
  <c r="P143" i="59"/>
  <c r="R143" i="59"/>
  <c r="K161" i="59"/>
  <c r="M161" i="59"/>
  <c r="S176" i="59"/>
  <c r="R176" i="59"/>
  <c r="P176" i="59"/>
  <c r="W145" i="59"/>
  <c r="X145" i="59"/>
  <c r="F194" i="59"/>
  <c r="Q163" i="67"/>
  <c r="R163" i="67" s="1"/>
  <c r="P163" i="67"/>
  <c r="N121" i="67"/>
  <c r="N120" i="67"/>
  <c r="N119" i="67" s="1"/>
  <c r="N118" i="67"/>
  <c r="N117" i="67" s="1"/>
  <c r="N116" i="67" s="1"/>
  <c r="N115" i="67" s="1"/>
  <c r="N114" i="67" s="1"/>
  <c r="N113" i="67" s="1"/>
  <c r="N112" i="67" s="1"/>
  <c r="N111" i="67" s="1"/>
  <c r="N110" i="67" s="1"/>
  <c r="N109" i="67" s="1"/>
  <c r="N108" i="67" s="1"/>
  <c r="N107" i="67" s="1"/>
  <c r="N106" i="67" s="1"/>
  <c r="N105" i="67" s="1"/>
  <c r="N104" i="67" s="1"/>
  <c r="N103" i="67" s="1"/>
  <c r="N102" i="67" s="1"/>
  <c r="N101" i="67" s="1"/>
  <c r="N100" i="67" s="1"/>
  <c r="N99" i="67" s="1"/>
  <c r="N98" i="67" s="1"/>
  <c r="N97" i="67" s="1"/>
  <c r="N96" i="67" s="1"/>
  <c r="N95" i="67" s="1"/>
  <c r="N94" i="67" s="1"/>
  <c r="N93" i="67" s="1"/>
  <c r="N92" i="67" s="1"/>
  <c r="N91" i="67" s="1"/>
  <c r="N90" i="67" s="1"/>
  <c r="N89" i="67" s="1"/>
  <c r="N88" i="67" s="1"/>
  <c r="N87" i="67" s="1"/>
  <c r="N86" i="67" s="1"/>
  <c r="N85" i="67" s="1"/>
  <c r="N84" i="67" s="1"/>
  <c r="N83" i="67" s="1"/>
  <c r="N82" i="67" s="1"/>
  <c r="N81" i="67" s="1"/>
  <c r="O104" i="59"/>
  <c r="O103" i="59" s="1"/>
  <c r="O102" i="59" s="1"/>
  <c r="O101" i="59" s="1"/>
  <c r="O100" i="59" s="1"/>
  <c r="O99" i="59" s="1"/>
  <c r="O98" i="59" s="1"/>
  <c r="O97" i="59" s="1"/>
  <c r="O96" i="59" s="1"/>
  <c r="O95" i="59" s="1"/>
  <c r="O94" i="59" s="1"/>
  <c r="O93" i="59" s="1"/>
  <c r="O92" i="59" s="1"/>
  <c r="O91" i="59" s="1"/>
  <c r="O90" i="59" s="1"/>
  <c r="O89" i="59" s="1"/>
  <c r="O88" i="59" s="1"/>
  <c r="O87" i="59" s="1"/>
  <c r="O86" i="59" s="1"/>
  <c r="O85" i="59" s="1"/>
  <c r="O84" i="59" s="1"/>
  <c r="O83" i="59" s="1"/>
  <c r="O82" i="59" s="1"/>
  <c r="O81" i="59" s="1"/>
  <c r="O121" i="59"/>
  <c r="O120" i="59" s="1"/>
  <c r="O119" i="59"/>
  <c r="O118" i="59" s="1"/>
  <c r="O117" i="59" s="1"/>
  <c r="O116" i="59" s="1"/>
  <c r="O115" i="59" s="1"/>
  <c r="O114" i="59" s="1"/>
  <c r="O113" i="59" s="1"/>
  <c r="O112" i="59" s="1"/>
  <c r="O111" i="59" s="1"/>
  <c r="O110" i="59" s="1"/>
  <c r="O109" i="59" s="1"/>
  <c r="O108" i="59" s="1"/>
  <c r="O107" i="59" s="1"/>
  <c r="O106" i="59" s="1"/>
  <c r="O105" i="59" s="1"/>
  <c r="W203" i="59"/>
  <c r="Z203" i="59"/>
  <c r="Y203" i="59"/>
  <c r="W183" i="59"/>
  <c r="Y183" i="59"/>
  <c r="AT184" i="59"/>
  <c r="AT183" i="59" s="1"/>
  <c r="AI183" i="59"/>
  <c r="P143" i="65"/>
  <c r="Q145" i="65" s="1"/>
  <c r="C194" i="65"/>
  <c r="C196" i="65" s="1"/>
  <c r="F194" i="65"/>
  <c r="Z163" i="59"/>
  <c r="W163" i="59"/>
  <c r="Y163" i="59"/>
  <c r="Z183" i="59"/>
  <c r="AZ163" i="65"/>
  <c r="AX163" i="65"/>
  <c r="C194" i="68"/>
  <c r="C196" i="68" s="1"/>
  <c r="F194" i="68"/>
  <c r="E194" i="68"/>
  <c r="Z223" i="65"/>
  <c r="Y223" i="65"/>
  <c r="W223" i="65"/>
  <c r="Y143" i="59"/>
  <c r="Z143" i="59"/>
  <c r="F160" i="65"/>
  <c r="E160" i="65"/>
  <c r="C160" i="65"/>
  <c r="AS203" i="67"/>
  <c r="AV203" i="67"/>
  <c r="AU203" i="67"/>
  <c r="AN203" i="59"/>
  <c r="AT184" i="65"/>
  <c r="AT183" i="65"/>
  <c r="AS183" i="65" s="1"/>
  <c r="BA163" i="65"/>
  <c r="AH183" i="65"/>
  <c r="AK183" i="65"/>
  <c r="AJ183" i="65"/>
  <c r="M143" i="59"/>
  <c r="K143" i="59"/>
  <c r="L145" i="59" s="1"/>
  <c r="K176" i="59"/>
  <c r="K178" i="59" s="1"/>
  <c r="N176" i="59"/>
  <c r="M176" i="59"/>
  <c r="W223" i="59"/>
  <c r="Y223" i="59"/>
  <c r="Z223" i="59"/>
  <c r="W183" i="65"/>
  <c r="Z183" i="65"/>
  <c r="Y183" i="65"/>
  <c r="R161" i="67"/>
  <c r="S161" i="67"/>
  <c r="P143" i="68"/>
  <c r="S143" i="68"/>
  <c r="R143" i="68"/>
  <c r="N143" i="59"/>
  <c r="AT224" i="59"/>
  <c r="AT223" i="59" s="1"/>
  <c r="AI223" i="59"/>
  <c r="AB203" i="59"/>
  <c r="AD203" i="59"/>
  <c r="AE203" i="59"/>
  <c r="BA203" i="59"/>
  <c r="AZ203" i="59"/>
  <c r="AX203" i="59"/>
  <c r="AS143" i="65"/>
  <c r="AV143" i="65"/>
  <c r="AU143" i="65"/>
  <c r="P176" i="65"/>
  <c r="S176" i="65"/>
  <c r="R176" i="65"/>
  <c r="AN184" i="59"/>
  <c r="AY184" i="59" s="1"/>
  <c r="AY183" i="59" s="1"/>
  <c r="AN183" i="59"/>
  <c r="AM183" i="59" s="1"/>
  <c r="C211" i="59"/>
  <c r="Z203" i="65"/>
  <c r="C145" i="67"/>
  <c r="AN165" i="67"/>
  <c r="AP165" i="67" s="1"/>
  <c r="W163" i="67"/>
  <c r="Z163" i="67"/>
  <c r="Y163" i="67"/>
  <c r="F177" i="68"/>
  <c r="E177" i="68"/>
  <c r="C177" i="68"/>
  <c r="Q145" i="69"/>
  <c r="P145" i="69"/>
  <c r="AZ223" i="65"/>
  <c r="AX223" i="65"/>
  <c r="N143" i="67"/>
  <c r="F145" i="67"/>
  <c r="E145" i="67"/>
  <c r="AB183" i="67"/>
  <c r="AC185" i="67" s="1"/>
  <c r="AD183" i="67"/>
  <c r="AE183" i="67"/>
  <c r="F160" i="59"/>
  <c r="AN163" i="65"/>
  <c r="F160" i="67"/>
  <c r="E160" i="67"/>
  <c r="C160" i="67"/>
  <c r="C162" i="67" s="1"/>
  <c r="AY184" i="67"/>
  <c r="AY183" i="67"/>
  <c r="AZ183" i="67" s="1"/>
  <c r="AN183" i="67"/>
  <c r="AP183" i="67" s="1"/>
  <c r="BA163" i="68"/>
  <c r="AZ163" i="68"/>
  <c r="AX163" i="68"/>
  <c r="AI164" i="59"/>
  <c r="AY224" i="67"/>
  <c r="AY223" i="67"/>
  <c r="AP223" i="67"/>
  <c r="AM223" i="67"/>
  <c r="AN225" i="67"/>
  <c r="AO225" i="67"/>
  <c r="AO223" i="67"/>
  <c r="E211" i="59"/>
  <c r="AJ143" i="65"/>
  <c r="AH143" i="65"/>
  <c r="AI145" i="65" s="1"/>
  <c r="K161" i="65"/>
  <c r="AN223" i="65"/>
  <c r="K143" i="67"/>
  <c r="P176" i="67"/>
  <c r="Q178" i="67" s="1"/>
  <c r="S176" i="67"/>
  <c r="F194" i="67"/>
  <c r="E194" i="67"/>
  <c r="C194" i="67"/>
  <c r="AH203" i="67"/>
  <c r="AK203" i="67"/>
  <c r="F143" i="68"/>
  <c r="E143" i="68"/>
  <c r="C143" i="68"/>
  <c r="M161" i="68"/>
  <c r="K161" i="68"/>
  <c r="BA223" i="65"/>
  <c r="N161" i="67"/>
  <c r="L163" i="67"/>
  <c r="AV143" i="68"/>
  <c r="AS143" i="68"/>
  <c r="AU143" i="68"/>
  <c r="Q178" i="68"/>
  <c r="R178" i="68" s="1"/>
  <c r="P178" i="68"/>
  <c r="C211" i="65"/>
  <c r="E211" i="65"/>
  <c r="Q145" i="67"/>
  <c r="P145" i="67"/>
  <c r="BA163" i="67"/>
  <c r="AZ163" i="67"/>
  <c r="AX163" i="67"/>
  <c r="AC165" i="69"/>
  <c r="AB165" i="69"/>
  <c r="R143" i="67"/>
  <c r="F211" i="67"/>
  <c r="W143" i="68"/>
  <c r="Y143" i="68"/>
  <c r="C160" i="68"/>
  <c r="AN163" i="68"/>
  <c r="AM163" i="68" s="1"/>
  <c r="AN165" i="68" s="1"/>
  <c r="S176" i="68"/>
  <c r="E143" i="69"/>
  <c r="C143" i="69"/>
  <c r="F143" i="69"/>
  <c r="X223" i="69"/>
  <c r="AI224" i="69"/>
  <c r="S143" i="67"/>
  <c r="E177" i="67"/>
  <c r="AD163" i="67"/>
  <c r="AB163" i="68"/>
  <c r="AD163" i="68"/>
  <c r="N145" i="69"/>
  <c r="N144" i="69" s="1"/>
  <c r="M145" i="69"/>
  <c r="AX143" i="69"/>
  <c r="BA143" i="69"/>
  <c r="AZ143" i="69"/>
  <c r="AX163" i="69"/>
  <c r="BA163" i="69"/>
  <c r="AZ163" i="69"/>
  <c r="W203" i="69"/>
  <c r="X205" i="69"/>
  <c r="Y203" i="69"/>
  <c r="Z203" i="69"/>
  <c r="AB183" i="69"/>
  <c r="AD183" i="69"/>
  <c r="BA223" i="68"/>
  <c r="AZ223" i="68"/>
  <c r="AX223" i="68"/>
  <c r="Y183" i="69"/>
  <c r="Z183" i="69"/>
  <c r="W183" i="69"/>
  <c r="AH143" i="68"/>
  <c r="Y183" i="68"/>
  <c r="W183" i="68"/>
  <c r="AB223" i="68"/>
  <c r="AC225" i="68" s="1"/>
  <c r="AD223" i="68"/>
  <c r="AE223" i="68"/>
  <c r="C160" i="69"/>
  <c r="F160" i="69"/>
  <c r="AU183" i="69"/>
  <c r="AS183" i="69"/>
  <c r="AT185" i="69" s="1"/>
  <c r="AU185" i="69" s="1"/>
  <c r="X163" i="69"/>
  <c r="AI164" i="69"/>
  <c r="AE163" i="69"/>
  <c r="AD163" i="69"/>
  <c r="S143" i="69"/>
  <c r="R143" i="69"/>
  <c r="Z143" i="69"/>
  <c r="W143" i="69"/>
  <c r="X145" i="69" s="1"/>
  <c r="Y143" i="69"/>
  <c r="K176" i="69"/>
  <c r="L178" i="69"/>
  <c r="N178" i="69"/>
  <c r="N176" i="69"/>
  <c r="M176" i="69"/>
  <c r="C194" i="69"/>
  <c r="D196" i="69" s="1"/>
  <c r="F194" i="69"/>
  <c r="E194" i="69"/>
  <c r="AS203" i="69"/>
  <c r="AT205" i="69" s="1"/>
  <c r="AV203" i="69"/>
  <c r="AU203" i="69"/>
  <c r="D213" i="68"/>
  <c r="F213" i="68" s="1"/>
  <c r="F212" i="68" s="1"/>
  <c r="C213" i="68"/>
  <c r="P176" i="69"/>
  <c r="P178" i="69" s="1"/>
  <c r="S176" i="69"/>
  <c r="R176" i="69"/>
  <c r="AI183" i="69"/>
  <c r="M143" i="69"/>
  <c r="M144" i="69" s="1"/>
  <c r="J3" i="69" s="1"/>
  <c r="N143" i="69"/>
  <c r="AM143" i="69"/>
  <c r="E211" i="69"/>
  <c r="AD143" i="69"/>
  <c r="AO143" i="69"/>
  <c r="AN163" i="69"/>
  <c r="AY145" i="69"/>
  <c r="AX145" i="69"/>
  <c r="C162" i="68"/>
  <c r="D162" i="68"/>
  <c r="F162" i="68" s="1"/>
  <c r="K145" i="59"/>
  <c r="D196" i="65"/>
  <c r="E196" i="65" s="1"/>
  <c r="P178" i="59"/>
  <c r="Q178" i="59"/>
  <c r="R178" i="59"/>
  <c r="AX225" i="65"/>
  <c r="AY225" i="65"/>
  <c r="AM225" i="67"/>
  <c r="AB185" i="67"/>
  <c r="X185" i="65"/>
  <c r="W185" i="65"/>
  <c r="D162" i="69"/>
  <c r="C162" i="69"/>
  <c r="S178" i="68"/>
  <c r="S177" i="68" s="1"/>
  <c r="AM183" i="67"/>
  <c r="AM185" i="67" s="1"/>
  <c r="AO183" i="67"/>
  <c r="S163" i="67"/>
  <c r="S162" i="67" s="1"/>
  <c r="R162" i="67"/>
  <c r="K4" i="67" s="1"/>
  <c r="AM145" i="69"/>
  <c r="AN145" i="69"/>
  <c r="Q178" i="69"/>
  <c r="S178" i="69" s="1"/>
  <c r="S177" i="69" s="1"/>
  <c r="K178" i="69"/>
  <c r="L163" i="68"/>
  <c r="K163" i="68"/>
  <c r="C179" i="68"/>
  <c r="D179" i="68"/>
  <c r="F179" i="68" s="1"/>
  <c r="F178" i="68" s="1"/>
  <c r="W205" i="59"/>
  <c r="X205" i="59"/>
  <c r="Y205" i="59" s="1"/>
  <c r="AT224" i="69"/>
  <c r="AT223" i="69" s="1"/>
  <c r="AI223" i="69"/>
  <c r="AH223" i="69" s="1"/>
  <c r="AI225" i="69" s="1"/>
  <c r="N163" i="67"/>
  <c r="N162" i="67"/>
  <c r="M163" i="67"/>
  <c r="M162" i="67" s="1"/>
  <c r="J4" i="67" s="1"/>
  <c r="AX205" i="59"/>
  <c r="AY205" i="59"/>
  <c r="AY165" i="65"/>
  <c r="AX165" i="65"/>
  <c r="W145" i="69"/>
  <c r="Z223" i="69"/>
  <c r="AP163" i="65"/>
  <c r="W185" i="69"/>
  <c r="X185" i="69"/>
  <c r="W205" i="69"/>
  <c r="D145" i="68"/>
  <c r="C145" i="68"/>
  <c r="AX223" i="67"/>
  <c r="AX225" i="67" s="1"/>
  <c r="X225" i="59"/>
  <c r="W225" i="59"/>
  <c r="AI185" i="65"/>
  <c r="AJ185" i="65" s="1"/>
  <c r="AH185" i="65"/>
  <c r="P145" i="65"/>
  <c r="AT164" i="69"/>
  <c r="AT163" i="69" s="1"/>
  <c r="AI163" i="69"/>
  <c r="X185" i="68"/>
  <c r="W185" i="68"/>
  <c r="D145" i="69"/>
  <c r="F145" i="69" s="1"/>
  <c r="F144" i="69" s="1"/>
  <c r="C145" i="69"/>
  <c r="R145" i="67"/>
  <c r="R144" i="67" s="1"/>
  <c r="K3" i="67" s="1"/>
  <c r="S145" i="67"/>
  <c r="S144" i="67" s="1"/>
  <c r="AT205" i="67"/>
  <c r="AS205" i="67"/>
  <c r="P145" i="59"/>
  <c r="Q145" i="59"/>
  <c r="AD165" i="69"/>
  <c r="AD164" i="69" s="1"/>
  <c r="AE165" i="69"/>
  <c r="AE164" i="69" s="1"/>
  <c r="W163" i="69"/>
  <c r="Z163" i="69"/>
  <c r="Y163" i="69"/>
  <c r="P178" i="67"/>
  <c r="AT164" i="59"/>
  <c r="AT163" i="59" s="1"/>
  <c r="AS163" i="59" s="1"/>
  <c r="AS165" i="59" s="1"/>
  <c r="AI163" i="59"/>
  <c r="D162" i="65"/>
  <c r="F162" i="65" s="1"/>
  <c r="F161" i="65" s="1"/>
  <c r="C162" i="65"/>
  <c r="AP163" i="69"/>
  <c r="AS205" i="69"/>
  <c r="AI145" i="68"/>
  <c r="AK145" i="68" s="1"/>
  <c r="AK144" i="68" s="1"/>
  <c r="AH145" i="68"/>
  <c r="AY165" i="69"/>
  <c r="AX165" i="69"/>
  <c r="D213" i="65"/>
  <c r="C213" i="65"/>
  <c r="L145" i="67"/>
  <c r="N145" i="67" s="1"/>
  <c r="N144" i="67" s="1"/>
  <c r="K145" i="67"/>
  <c r="D162" i="67"/>
  <c r="AO165" i="67"/>
  <c r="L178" i="59"/>
  <c r="AK183" i="59"/>
  <c r="AJ183" i="59"/>
  <c r="AH183" i="59"/>
  <c r="D196" i="59"/>
  <c r="E196" i="59" s="1"/>
  <c r="C196" i="59"/>
  <c r="AS185" i="69"/>
  <c r="AY165" i="68"/>
  <c r="AX165" i="68"/>
  <c r="AB185" i="69"/>
  <c r="AC185" i="69"/>
  <c r="AI205" i="67"/>
  <c r="AK205" i="67" s="1"/>
  <c r="AK204" i="67" s="1"/>
  <c r="AH205" i="67"/>
  <c r="AM223" i="65"/>
  <c r="AP223" i="65"/>
  <c r="AO223" i="65"/>
  <c r="D196" i="68"/>
  <c r="E196" i="68" s="1"/>
  <c r="E195" i="68" s="1"/>
  <c r="D23" i="68" s="1"/>
  <c r="U16" i="68" s="1"/>
  <c r="AS183" i="59"/>
  <c r="AV183" i="59"/>
  <c r="AU183" i="59"/>
  <c r="Y145" i="59"/>
  <c r="Y144" i="59" s="1"/>
  <c r="Z145" i="59"/>
  <c r="Z144" i="59"/>
  <c r="Y204" i="59"/>
  <c r="B23" i="59" s="1"/>
  <c r="N178" i="59"/>
  <c r="N177" i="59" s="1"/>
  <c r="BA48" i="59" s="1"/>
  <c r="BD48" i="59" s="1"/>
  <c r="M178" i="59"/>
  <c r="M177" i="59"/>
  <c r="J5" i="59" s="1"/>
  <c r="AP145" i="69"/>
  <c r="AP144" i="69"/>
  <c r="AO145" i="69"/>
  <c r="AO144" i="69" s="1"/>
  <c r="AN185" i="67"/>
  <c r="N177" i="69"/>
  <c r="M178" i="69"/>
  <c r="M177" i="69" s="1"/>
  <c r="J5" i="69" s="1"/>
  <c r="BA165" i="68"/>
  <c r="BA164" i="68"/>
  <c r="AZ165" i="68"/>
  <c r="AZ164" i="68"/>
  <c r="M145" i="67"/>
  <c r="M144" i="67" s="1"/>
  <c r="J3" i="67" s="1"/>
  <c r="AP183" i="59"/>
  <c r="AO183" i="59"/>
  <c r="AJ184" i="65"/>
  <c r="AV185" i="69"/>
  <c r="AV184" i="69" s="1"/>
  <c r="AU184" i="69"/>
  <c r="Z185" i="69"/>
  <c r="Z184" i="69" s="1"/>
  <c r="Y185" i="69"/>
  <c r="Y184" i="69" s="1"/>
  <c r="E179" i="68"/>
  <c r="E178" i="68" s="1"/>
  <c r="D22" i="68" s="1"/>
  <c r="Z185" i="65"/>
  <c r="Z184" i="65"/>
  <c r="Y185" i="65"/>
  <c r="Y184" i="65" s="1"/>
  <c r="F196" i="65"/>
  <c r="F195" i="65" s="1"/>
  <c r="E195" i="65"/>
  <c r="D23" i="65"/>
  <c r="AC21" i="65" s="1"/>
  <c r="AN225" i="65"/>
  <c r="AO225" i="65" s="1"/>
  <c r="AM225" i="65"/>
  <c r="Y225" i="59"/>
  <c r="Y224" i="59" s="1"/>
  <c r="B24" i="59" s="1"/>
  <c r="Z225" i="59"/>
  <c r="Z224" i="59"/>
  <c r="F145" i="68"/>
  <c r="F144" i="68"/>
  <c r="E145" i="68"/>
  <c r="E144" i="68" s="1"/>
  <c r="D20" i="68" s="1"/>
  <c r="O12" i="68" s="1"/>
  <c r="AK223" i="69"/>
  <c r="AJ223" i="69"/>
  <c r="Y185" i="68"/>
  <c r="Y184" i="68" s="1"/>
  <c r="Z185" i="68"/>
  <c r="Z184" i="68" s="1"/>
  <c r="Y145" i="69"/>
  <c r="Y144" i="69"/>
  <c r="Z145" i="69"/>
  <c r="Z144" i="69"/>
  <c r="AS223" i="69"/>
  <c r="AV223" i="69"/>
  <c r="AU223" i="69"/>
  <c r="AD185" i="67"/>
  <c r="AD184" i="67" s="1"/>
  <c r="AE185" i="67"/>
  <c r="AE184" i="67" s="1"/>
  <c r="AE185" i="69"/>
  <c r="AE184" i="69" s="1"/>
  <c r="AD185" i="69"/>
  <c r="AD184" i="69" s="1"/>
  <c r="E213" i="65"/>
  <c r="E212" i="65" s="1"/>
  <c r="D24" i="65" s="1"/>
  <c r="AC22" i="65" s="1"/>
  <c r="F213" i="65"/>
  <c r="F212" i="65" s="1"/>
  <c r="AK163" i="59"/>
  <c r="AJ163" i="59"/>
  <c r="AH163" i="59"/>
  <c r="AI165" i="59" s="1"/>
  <c r="X165" i="69"/>
  <c r="Z165" i="69" s="1"/>
  <c r="Z164" i="69" s="1"/>
  <c r="W165" i="69"/>
  <c r="AK163" i="69"/>
  <c r="AJ163" i="69"/>
  <c r="AH163" i="69"/>
  <c r="AH165" i="69"/>
  <c r="AZ225" i="65"/>
  <c r="AZ224" i="65"/>
  <c r="BA225" i="65"/>
  <c r="BA224" i="65" s="1"/>
  <c r="BA145" i="69"/>
  <c r="BA144" i="69"/>
  <c r="AZ145" i="69"/>
  <c r="AZ144" i="69" s="1"/>
  <c r="AJ145" i="68"/>
  <c r="S145" i="65"/>
  <c r="S144" i="65"/>
  <c r="R145" i="65"/>
  <c r="AU163" i="59"/>
  <c r="AV163" i="59"/>
  <c r="AV163" i="69"/>
  <c r="AU163" i="69"/>
  <c r="AS163" i="69"/>
  <c r="AT165" i="69" s="1"/>
  <c r="Z205" i="69"/>
  <c r="Z204" i="69" s="1"/>
  <c r="Y205" i="69"/>
  <c r="Y204" i="69"/>
  <c r="AP225" i="67"/>
  <c r="AP224" i="67" s="1"/>
  <c r="AO224" i="67"/>
  <c r="E162" i="67"/>
  <c r="E161" i="67" s="1"/>
  <c r="D21" i="67" s="1"/>
  <c r="J80" i="67" s="1"/>
  <c r="F162" i="67"/>
  <c r="F161" i="67"/>
  <c r="BA165" i="69"/>
  <c r="BA164" i="69" s="1"/>
  <c r="AZ165" i="69"/>
  <c r="AZ164" i="69"/>
  <c r="S178" i="59"/>
  <c r="S177" i="59" s="1"/>
  <c r="R177" i="59"/>
  <c r="K5" i="59" s="1"/>
  <c r="M5" i="59" s="1"/>
  <c r="AH185" i="59"/>
  <c r="AI185" i="59"/>
  <c r="AS165" i="69"/>
  <c r="AM185" i="59"/>
  <c r="AN185" i="59"/>
  <c r="AP185" i="59" s="1"/>
  <c r="AP184" i="59" s="1"/>
  <c r="Y165" i="69"/>
  <c r="Y164" i="69" s="1"/>
  <c r="AH225" i="69"/>
  <c r="AP225" i="65"/>
  <c r="AP224" i="65"/>
  <c r="AO224" i="65"/>
  <c r="AH165" i="59"/>
  <c r="AO185" i="67"/>
  <c r="AO184" i="67" s="1"/>
  <c r="AP185" i="67"/>
  <c r="AP184" i="67" s="1"/>
  <c r="AT225" i="69"/>
  <c r="AS225" i="69"/>
  <c r="M3" i="67"/>
  <c r="BC26" i="67" s="1"/>
  <c r="I80" i="68"/>
  <c r="AK185" i="59"/>
  <c r="AK184" i="59"/>
  <c r="AJ185" i="59"/>
  <c r="AJ184" i="59"/>
  <c r="AO165" i="68"/>
  <c r="AO164" i="68" s="1"/>
  <c r="AP165" i="68"/>
  <c r="AI165" i="69"/>
  <c r="AJ165" i="69" s="1"/>
  <c r="AJ164" i="69" s="1"/>
  <c r="AK225" i="69"/>
  <c r="AK224" i="69" s="1"/>
  <c r="AJ225" i="69"/>
  <c r="AJ224" i="69"/>
  <c r="AO185" i="59"/>
  <c r="AO184" i="59" s="1"/>
  <c r="AK165" i="69"/>
  <c r="AK164" i="69"/>
  <c r="AV165" i="69"/>
  <c r="AV164" i="69"/>
  <c r="AU165" i="69"/>
  <c r="AU164" i="69" s="1"/>
  <c r="X183" i="67"/>
  <c r="AI184" i="67"/>
  <c r="M161" i="69"/>
  <c r="K161" i="69"/>
  <c r="AC223" i="69"/>
  <c r="AD223" i="69" s="1"/>
  <c r="AN224" i="69"/>
  <c r="P161" i="69"/>
  <c r="R161" i="69"/>
  <c r="R178" i="67"/>
  <c r="R177" i="67" s="1"/>
  <c r="K5" i="67"/>
  <c r="S178" i="67"/>
  <c r="S177" i="67" s="1"/>
  <c r="N145" i="59"/>
  <c r="N144" i="59" s="1"/>
  <c r="M145" i="59"/>
  <c r="M144" i="59"/>
  <c r="J3" i="59" s="1"/>
  <c r="AV205" i="69"/>
  <c r="AV204" i="69" s="1"/>
  <c r="AU205" i="69"/>
  <c r="AU204" i="69" s="1"/>
  <c r="D196" i="67"/>
  <c r="C196" i="67"/>
  <c r="F162" i="69"/>
  <c r="F161" i="69"/>
  <c r="E162" i="69"/>
  <c r="E161" i="69" s="1"/>
  <c r="D21" i="69" s="1"/>
  <c r="C213" i="59"/>
  <c r="D213" i="59"/>
  <c r="F213" i="59" s="1"/>
  <c r="F212" i="59" s="1"/>
  <c r="AS185" i="65"/>
  <c r="AT185" i="65"/>
  <c r="C196" i="69"/>
  <c r="AT165" i="59"/>
  <c r="K163" i="59"/>
  <c r="N161" i="59" s="1"/>
  <c r="L163" i="59"/>
  <c r="AZ183" i="59"/>
  <c r="W223" i="69"/>
  <c r="Y223" i="69"/>
  <c r="AE225" i="68"/>
  <c r="AE224" i="68"/>
  <c r="AD225" i="68"/>
  <c r="AD224" i="68"/>
  <c r="AX225" i="68"/>
  <c r="AY225" i="68"/>
  <c r="AT145" i="65"/>
  <c r="AS145" i="65"/>
  <c r="Q145" i="68"/>
  <c r="P145" i="68"/>
  <c r="AU183" i="65"/>
  <c r="AV183" i="65"/>
  <c r="X225" i="65"/>
  <c r="W225" i="65"/>
  <c r="AT164" i="65"/>
  <c r="AT163" i="65"/>
  <c r="AV163" i="65" s="1"/>
  <c r="AI163" i="65"/>
  <c r="BA183" i="67"/>
  <c r="AC205" i="59"/>
  <c r="AB205" i="59"/>
  <c r="X185" i="59"/>
  <c r="Y185" i="59" s="1"/>
  <c r="W185" i="59"/>
  <c r="AP163" i="68"/>
  <c r="AO163" i="68"/>
  <c r="AS223" i="59"/>
  <c r="AV223" i="59"/>
  <c r="AU223" i="59"/>
  <c r="AZ205" i="59"/>
  <c r="AZ204" i="59"/>
  <c r="BA205" i="59"/>
  <c r="BA204" i="59" s="1"/>
  <c r="BA40" i="67"/>
  <c r="BD40" i="67" s="1"/>
  <c r="R145" i="69"/>
  <c r="R144" i="69"/>
  <c r="K3" i="69" s="1"/>
  <c r="S145" i="69"/>
  <c r="S144" i="69"/>
  <c r="AK143" i="68"/>
  <c r="AJ143" i="68"/>
  <c r="AJ144" i="68" s="1"/>
  <c r="AC223" i="59"/>
  <c r="AE223" i="59" s="1"/>
  <c r="AN224" i="59"/>
  <c r="AN223" i="59" s="1"/>
  <c r="C179" i="67"/>
  <c r="D179" i="67"/>
  <c r="AC203" i="67"/>
  <c r="AB203" i="67" s="1"/>
  <c r="AB205" i="67" s="1"/>
  <c r="AN204" i="67"/>
  <c r="AN204" i="69"/>
  <c r="AN203" i="69" s="1"/>
  <c r="AO203" i="69" s="1"/>
  <c r="AC203" i="69"/>
  <c r="AC223" i="65"/>
  <c r="AB223" i="65" s="1"/>
  <c r="AB225" i="65" s="1"/>
  <c r="W145" i="65"/>
  <c r="X145" i="65"/>
  <c r="X203" i="68"/>
  <c r="Z203" i="68" s="1"/>
  <c r="AI204" i="68"/>
  <c r="AN204" i="68"/>
  <c r="AC203" i="68"/>
  <c r="P121" i="59"/>
  <c r="P120" i="59" s="1"/>
  <c r="P119" i="59" s="1"/>
  <c r="P118" i="59" s="1"/>
  <c r="P117" i="59" s="1"/>
  <c r="P116" i="59" s="1"/>
  <c r="P115" i="59" s="1"/>
  <c r="P114" i="59" s="1"/>
  <c r="P113" i="59" s="1"/>
  <c r="P112" i="59" s="1"/>
  <c r="P111" i="59" s="1"/>
  <c r="P110" i="59" s="1"/>
  <c r="P109" i="59" s="1"/>
  <c r="P108" i="59" s="1"/>
  <c r="P107" i="59" s="1"/>
  <c r="P106" i="59" s="1"/>
  <c r="P105" i="59" s="1"/>
  <c r="P104" i="59" s="1"/>
  <c r="P103" i="59" s="1"/>
  <c r="P102" i="59" s="1"/>
  <c r="P101" i="59" s="1"/>
  <c r="P100" i="59" s="1"/>
  <c r="P99" i="59" s="1"/>
  <c r="P98" i="59" s="1"/>
  <c r="P97" i="59" s="1"/>
  <c r="P96" i="59" s="1"/>
  <c r="P95" i="59" s="1"/>
  <c r="P94" i="59" s="1"/>
  <c r="P93" i="59" s="1"/>
  <c r="P92" i="59" s="1"/>
  <c r="P91" i="59" s="1"/>
  <c r="P90" i="59" s="1"/>
  <c r="P89" i="59" s="1"/>
  <c r="P88" i="59" s="1"/>
  <c r="P87" i="59" s="1"/>
  <c r="P86" i="59" s="1"/>
  <c r="P85" i="59" s="1"/>
  <c r="P84" i="59" s="1"/>
  <c r="P83" i="59" s="1"/>
  <c r="P82" i="59" s="1"/>
  <c r="P81" i="59" s="1"/>
  <c r="R121" i="68"/>
  <c r="R120" i="68" s="1"/>
  <c r="R119" i="68" s="1"/>
  <c r="R118" i="68" s="1"/>
  <c r="R117" i="68" s="1"/>
  <c r="R116" i="68" s="1"/>
  <c r="R115" i="68" s="1"/>
  <c r="R114" i="68" s="1"/>
  <c r="R113" i="68" s="1"/>
  <c r="R112" i="68" s="1"/>
  <c r="R111" i="68" s="1"/>
  <c r="R110" i="68" s="1"/>
  <c r="R109" i="68" s="1"/>
  <c r="R108" i="68" s="1"/>
  <c r="R107" i="68" s="1"/>
  <c r="R106" i="68" s="1"/>
  <c r="R105" i="68" s="1"/>
  <c r="R104" i="68" s="1"/>
  <c r="R103" i="68" s="1"/>
  <c r="R102" i="68" s="1"/>
  <c r="R101" i="68" s="1"/>
  <c r="R100" i="68" s="1"/>
  <c r="R99" i="68" s="1"/>
  <c r="R98" i="68" s="1"/>
  <c r="R97" i="68" s="1"/>
  <c r="R96" i="68" s="1"/>
  <c r="R95" i="68" s="1"/>
  <c r="R94" i="68" s="1"/>
  <c r="R93" i="68" s="1"/>
  <c r="R92" i="68" s="1"/>
  <c r="R91" i="68" s="1"/>
  <c r="R90" i="68" s="1"/>
  <c r="R89" i="68" s="1"/>
  <c r="R88" i="68" s="1"/>
  <c r="R87" i="68" s="1"/>
  <c r="R86" i="68" s="1"/>
  <c r="R85" i="68" s="1"/>
  <c r="R84" i="68" s="1"/>
  <c r="R83" i="68" s="1"/>
  <c r="R82" i="68" s="1"/>
  <c r="R81" i="68" s="1"/>
  <c r="C177" i="59"/>
  <c r="E177" i="59"/>
  <c r="P121" i="65"/>
  <c r="P120" i="65"/>
  <c r="P119" i="65" s="1"/>
  <c r="P118" i="65" s="1"/>
  <c r="P117" i="65" s="1"/>
  <c r="P116" i="65" s="1"/>
  <c r="P115" i="65" s="1"/>
  <c r="P114" i="65" s="1"/>
  <c r="P113" i="65" s="1"/>
  <c r="P112" i="65" s="1"/>
  <c r="P111" i="65" s="1"/>
  <c r="P110" i="65" s="1"/>
  <c r="P109" i="65" s="1"/>
  <c r="P108" i="65" s="1"/>
  <c r="P107" i="65" s="1"/>
  <c r="P106" i="65" s="1"/>
  <c r="P105" i="65" s="1"/>
  <c r="P104" i="65" s="1"/>
  <c r="P103" i="65" s="1"/>
  <c r="P102" i="65" s="1"/>
  <c r="P101" i="65" s="1"/>
  <c r="P100" i="65" s="1"/>
  <c r="P99" i="65" s="1"/>
  <c r="P98" i="65" s="1"/>
  <c r="P97" i="65" s="1"/>
  <c r="P96" i="65" s="1"/>
  <c r="P95" i="65" s="1"/>
  <c r="P94" i="65" s="1"/>
  <c r="P93" i="65" s="1"/>
  <c r="P92" i="65" s="1"/>
  <c r="P91" i="65" s="1"/>
  <c r="P90" i="65" s="1"/>
  <c r="P89" i="65" s="1"/>
  <c r="P88" i="65" s="1"/>
  <c r="P87" i="65" s="1"/>
  <c r="P86" i="65" s="1"/>
  <c r="P85" i="65" s="1"/>
  <c r="P84" i="65" s="1"/>
  <c r="P83" i="65" s="1"/>
  <c r="P82" i="65" s="1"/>
  <c r="P81" i="65" s="1"/>
  <c r="AN144" i="59"/>
  <c r="AN143" i="59" s="1"/>
  <c r="AC143" i="59"/>
  <c r="AD143" i="59" s="1"/>
  <c r="Q121" i="65"/>
  <c r="Q120" i="65" s="1"/>
  <c r="Q119" i="65" s="1"/>
  <c r="Q118" i="65" s="1"/>
  <c r="Q117" i="65" s="1"/>
  <c r="Q116" i="65" s="1"/>
  <c r="Q115" i="65" s="1"/>
  <c r="Q114" i="65" s="1"/>
  <c r="Q113" i="65" s="1"/>
  <c r="Q112" i="65" s="1"/>
  <c r="Q111" i="65" s="1"/>
  <c r="Q110" i="65" s="1"/>
  <c r="Q109" i="65" s="1"/>
  <c r="Q108" i="65" s="1"/>
  <c r="Q107" i="65" s="1"/>
  <c r="Q106" i="65" s="1"/>
  <c r="Q105" i="65" s="1"/>
  <c r="Q104" i="65" s="1"/>
  <c r="Q103" i="65" s="1"/>
  <c r="Q102" i="65" s="1"/>
  <c r="Q101" i="65" s="1"/>
  <c r="Q100" i="65" s="1"/>
  <c r="Q99" i="65" s="1"/>
  <c r="Q98" i="65" s="1"/>
  <c r="Q97" i="65" s="1"/>
  <c r="Q96" i="65" s="1"/>
  <c r="Q95" i="65" s="1"/>
  <c r="Q94" i="65" s="1"/>
  <c r="Q93" i="65" s="1"/>
  <c r="Q92" i="65" s="1"/>
  <c r="Q91" i="65" s="1"/>
  <c r="Q90" i="65" s="1"/>
  <c r="Q89" i="65" s="1"/>
  <c r="Q88" i="65" s="1"/>
  <c r="Q87" i="65" s="1"/>
  <c r="Q86" i="65" s="1"/>
  <c r="Q85" i="65" s="1"/>
  <c r="Q84" i="65" s="1"/>
  <c r="Q83" i="65" s="1"/>
  <c r="Q82" i="65" s="1"/>
  <c r="Q81" i="65" s="1"/>
  <c r="W163" i="65"/>
  <c r="AP163" i="67"/>
  <c r="AP164" i="67" s="1"/>
  <c r="AO163" i="67"/>
  <c r="AO164" i="67"/>
  <c r="X223" i="67"/>
  <c r="AI224" i="67"/>
  <c r="AK203" i="69"/>
  <c r="AC185" i="65"/>
  <c r="AB185" i="65"/>
  <c r="AC165" i="65"/>
  <c r="AE165" i="65" s="1"/>
  <c r="AE164" i="65" s="1"/>
  <c r="AB165" i="65"/>
  <c r="C211" i="67"/>
  <c r="E211" i="67"/>
  <c r="AC165" i="67"/>
  <c r="AB165" i="67"/>
  <c r="AB183" i="68"/>
  <c r="AE183" i="68"/>
  <c r="AD183" i="68"/>
  <c r="C143" i="59"/>
  <c r="E143" i="59"/>
  <c r="K143" i="65"/>
  <c r="L145" i="65" s="1"/>
  <c r="N143" i="65"/>
  <c r="M143" i="65"/>
  <c r="P161" i="65"/>
  <c r="R161" i="65"/>
  <c r="K176" i="65"/>
  <c r="L178" i="65" s="1"/>
  <c r="N176" i="65"/>
  <c r="X163" i="68"/>
  <c r="Z163" i="68" s="1"/>
  <c r="AI164" i="68"/>
  <c r="AY184" i="68"/>
  <c r="AY183" i="68" s="1"/>
  <c r="AZ183" i="68" s="1"/>
  <c r="AN183" i="68"/>
  <c r="P118" i="69"/>
  <c r="P117" i="69" s="1"/>
  <c r="P116" i="69" s="1"/>
  <c r="P115" i="69" s="1"/>
  <c r="P114" i="69" s="1"/>
  <c r="P113" i="69" s="1"/>
  <c r="P112" i="69" s="1"/>
  <c r="P111" i="69" s="1"/>
  <c r="P110" i="69" s="1"/>
  <c r="P109" i="69" s="1"/>
  <c r="P108" i="69" s="1"/>
  <c r="P107" i="69" s="1"/>
  <c r="P106" i="69" s="1"/>
  <c r="P105" i="69" s="1"/>
  <c r="P104" i="69" s="1"/>
  <c r="P103" i="69" s="1"/>
  <c r="P102" i="69" s="1"/>
  <c r="P101" i="69" s="1"/>
  <c r="P100" i="69" s="1"/>
  <c r="P99" i="69" s="1"/>
  <c r="P98" i="69"/>
  <c r="P97" i="69" s="1"/>
  <c r="P96" i="69" s="1"/>
  <c r="P95" i="69" s="1"/>
  <c r="P94" i="69" s="1"/>
  <c r="P93" i="69" s="1"/>
  <c r="P92" i="69" s="1"/>
  <c r="P91" i="69" s="1"/>
  <c r="P90" i="69" s="1"/>
  <c r="P89" i="69" s="1"/>
  <c r="P88" i="69" s="1"/>
  <c r="P87" i="69" s="1"/>
  <c r="P86" i="69" s="1"/>
  <c r="P85" i="69" s="1"/>
  <c r="P84" i="69" s="1"/>
  <c r="P83" i="69" s="1"/>
  <c r="P82" i="69" s="1"/>
  <c r="P81" i="69" s="1"/>
  <c r="AE163" i="67"/>
  <c r="E177" i="69"/>
  <c r="AN144" i="65"/>
  <c r="AC143" i="65"/>
  <c r="AC203" i="65"/>
  <c r="AD203" i="65" s="1"/>
  <c r="AN204" i="65"/>
  <c r="F160" i="68"/>
  <c r="F161" i="68" s="1"/>
  <c r="F211" i="69"/>
  <c r="C211" i="69"/>
  <c r="D213" i="69" s="1"/>
  <c r="AB143" i="69"/>
  <c r="Q121" i="67"/>
  <c r="Q120" i="67"/>
  <c r="Q119" i="67"/>
  <c r="Q118" i="67" s="1"/>
  <c r="Q117" i="67" s="1"/>
  <c r="Q116" i="67" s="1"/>
  <c r="Q115" i="67" s="1"/>
  <c r="Q114" i="67"/>
  <c r="Q113" i="67" s="1"/>
  <c r="Q112" i="67" s="1"/>
  <c r="Q111" i="67" s="1"/>
  <c r="Q110" i="67" s="1"/>
  <c r="Q109" i="67" s="1"/>
  <c r="Q108" i="67" s="1"/>
  <c r="Q107" i="67" s="1"/>
  <c r="Q106" i="67" s="1"/>
  <c r="Q105" i="67" s="1"/>
  <c r="Q104" i="67" s="1"/>
  <c r="Q103" i="67" s="1"/>
  <c r="Q102" i="67" s="1"/>
  <c r="Q101" i="67" s="1"/>
  <c r="Q100" i="67" s="1"/>
  <c r="Q99" i="67" s="1"/>
  <c r="Q98" i="67" s="1"/>
  <c r="Q97" i="67" s="1"/>
  <c r="Q96" i="67" s="1"/>
  <c r="Q95" i="67" s="1"/>
  <c r="Q94" i="67" s="1"/>
  <c r="Q93" i="67" s="1"/>
  <c r="Q92" i="67" s="1"/>
  <c r="Q91" i="67" s="1"/>
  <c r="Q90" i="67" s="1"/>
  <c r="Q89" i="67" s="1"/>
  <c r="Q88" i="67" s="1"/>
  <c r="Q87" i="67" s="1"/>
  <c r="Q86" i="67" s="1"/>
  <c r="Q85" i="67" s="1"/>
  <c r="Q84" i="67" s="1"/>
  <c r="Q83" i="67" s="1"/>
  <c r="Q82" i="67" s="1"/>
  <c r="Q81" i="67" s="1"/>
  <c r="C177" i="65"/>
  <c r="D179" i="65" s="1"/>
  <c r="F177" i="65"/>
  <c r="Z143" i="65"/>
  <c r="Y143" i="65"/>
  <c r="AB143" i="67"/>
  <c r="AE143" i="67"/>
  <c r="AI224" i="68"/>
  <c r="AI223" i="68" s="1"/>
  <c r="X223" i="68"/>
  <c r="AI204" i="59"/>
  <c r="E143" i="65"/>
  <c r="E143" i="67"/>
  <c r="E144" i="67" s="1"/>
  <c r="D20" i="67" s="1"/>
  <c r="AI144" i="59"/>
  <c r="AD165" i="65"/>
  <c r="AD164" i="65" s="1"/>
  <c r="Y184" i="59"/>
  <c r="B22" i="59" s="1"/>
  <c r="Z185" i="59"/>
  <c r="Z184" i="59" s="1"/>
  <c r="E196" i="69"/>
  <c r="E195" i="69" s="1"/>
  <c r="D23" i="69"/>
  <c r="U16" i="69" s="1"/>
  <c r="F196" i="69"/>
  <c r="F195" i="69" s="1"/>
  <c r="Y163" i="68"/>
  <c r="W163" i="68"/>
  <c r="D179" i="59"/>
  <c r="C179" i="59"/>
  <c r="AZ225" i="68"/>
  <c r="AZ224" i="68"/>
  <c r="BA225" i="68"/>
  <c r="BA224" i="68" s="1"/>
  <c r="L163" i="69"/>
  <c r="K163" i="69"/>
  <c r="N161" i="69" s="1"/>
  <c r="K145" i="65"/>
  <c r="F179" i="67"/>
  <c r="F178" i="67" s="1"/>
  <c r="E179" i="67"/>
  <c r="E178" i="67"/>
  <c r="D22" i="67"/>
  <c r="AC20" i="67" s="1"/>
  <c r="AC145" i="69"/>
  <c r="AB145" i="69"/>
  <c r="AY204" i="65"/>
  <c r="AY203" i="65" s="1"/>
  <c r="AZ203" i="65" s="1"/>
  <c r="AN203" i="65"/>
  <c r="AM203" i="65" s="1"/>
  <c r="K178" i="65"/>
  <c r="AV185" i="65"/>
  <c r="AV184" i="65" s="1"/>
  <c r="AU185" i="65"/>
  <c r="AU184" i="65"/>
  <c r="AT184" i="67"/>
  <c r="AT183" i="67"/>
  <c r="AU183" i="67" s="1"/>
  <c r="AI183" i="67"/>
  <c r="AD203" i="67"/>
  <c r="AE203" i="67"/>
  <c r="X225" i="69"/>
  <c r="Z225" i="69" s="1"/>
  <c r="W225" i="69"/>
  <c r="AT144" i="59"/>
  <c r="AT143" i="59"/>
  <c r="AI143" i="59"/>
  <c r="AE185" i="65"/>
  <c r="AD185" i="65"/>
  <c r="AD184" i="65" s="1"/>
  <c r="AB203" i="65"/>
  <c r="AE203" i="65"/>
  <c r="AB203" i="68"/>
  <c r="AD203" i="68"/>
  <c r="AE203" i="68"/>
  <c r="AE223" i="65"/>
  <c r="AD223" i="65"/>
  <c r="AY224" i="59"/>
  <c r="AY223" i="59"/>
  <c r="AX223" i="59" s="1"/>
  <c r="AX225" i="59" s="1"/>
  <c r="AT225" i="59"/>
  <c r="AS225" i="59"/>
  <c r="AN223" i="69"/>
  <c r="AY224" i="69"/>
  <c r="AY223" i="69" s="1"/>
  <c r="AX223" i="69" s="1"/>
  <c r="W183" i="67"/>
  <c r="Z183" i="67"/>
  <c r="Y183" i="67"/>
  <c r="AU145" i="65"/>
  <c r="AU144" i="65" s="1"/>
  <c r="AV145" i="65"/>
  <c r="AV144" i="65" s="1"/>
  <c r="C145" i="59"/>
  <c r="D145" i="59"/>
  <c r="AT224" i="67"/>
  <c r="AT223" i="67"/>
  <c r="AI223" i="67"/>
  <c r="AJ223" i="67" s="1"/>
  <c r="AI203" i="59"/>
  <c r="AT204" i="59"/>
  <c r="AT203" i="59"/>
  <c r="P163" i="65"/>
  <c r="Q163" i="65"/>
  <c r="S161" i="65"/>
  <c r="Z223" i="67"/>
  <c r="W223" i="67"/>
  <c r="Y223" i="67"/>
  <c r="AB143" i="59"/>
  <c r="AY204" i="68"/>
  <c r="AY203" i="68"/>
  <c r="AN203" i="68"/>
  <c r="AD203" i="69"/>
  <c r="AD223" i="59"/>
  <c r="AB223" i="59"/>
  <c r="Q163" i="69"/>
  <c r="P163" i="69"/>
  <c r="S161" i="69"/>
  <c r="S162" i="69" s="1"/>
  <c r="AE223" i="69"/>
  <c r="AB223" i="69"/>
  <c r="AS163" i="65"/>
  <c r="Z225" i="65"/>
  <c r="Z224" i="65"/>
  <c r="Y225" i="65"/>
  <c r="Y224" i="65"/>
  <c r="W223" i="68"/>
  <c r="Y223" i="68"/>
  <c r="Z223" i="68"/>
  <c r="AB143" i="65"/>
  <c r="AD143" i="65"/>
  <c r="AE143" i="65"/>
  <c r="AO183" i="68"/>
  <c r="AM183" i="68"/>
  <c r="AP183" i="68"/>
  <c r="AC185" i="68"/>
  <c r="AB185" i="68"/>
  <c r="AY144" i="59"/>
  <c r="AY143" i="59"/>
  <c r="AT204" i="68"/>
  <c r="AT203" i="68" s="1"/>
  <c r="AI203" i="68"/>
  <c r="AY204" i="69"/>
  <c r="AY203" i="69" s="1"/>
  <c r="AZ203" i="69" s="1"/>
  <c r="R145" i="68"/>
  <c r="R144" i="68"/>
  <c r="K3" i="68" s="1"/>
  <c r="S145" i="68"/>
  <c r="S144" i="68"/>
  <c r="AU165" i="59"/>
  <c r="AU164" i="59"/>
  <c r="AV165" i="59"/>
  <c r="AV164" i="59"/>
  <c r="AT164" i="68"/>
  <c r="AT163" i="68" s="1"/>
  <c r="AI163" i="68"/>
  <c r="AE165" i="67"/>
  <c r="AE164" i="67"/>
  <c r="AD165" i="67"/>
  <c r="AD164" i="67"/>
  <c r="C213" i="69"/>
  <c r="AT224" i="68"/>
  <c r="AT223" i="68" s="1"/>
  <c r="AU223" i="68" s="1"/>
  <c r="C179" i="65"/>
  <c r="AY144" i="65"/>
  <c r="AY143" i="65"/>
  <c r="BA143" i="65" s="1"/>
  <c r="AN143" i="65"/>
  <c r="AM143" i="65" s="1"/>
  <c r="AX183" i="68"/>
  <c r="BA183" i="68"/>
  <c r="W203" i="68"/>
  <c r="AN203" i="67"/>
  <c r="AP203" i="67" s="1"/>
  <c r="AY204" i="67"/>
  <c r="AY203" i="67" s="1"/>
  <c r="AZ203" i="67" s="1"/>
  <c r="AJ163" i="65"/>
  <c r="AH163" i="65"/>
  <c r="AI165" i="65" s="1"/>
  <c r="AK163" i="65"/>
  <c r="Q16" i="69"/>
  <c r="Q12" i="69"/>
  <c r="Q13" i="69"/>
  <c r="Q15" i="69"/>
  <c r="AC19" i="69"/>
  <c r="AD19" i="69"/>
  <c r="AO143" i="65"/>
  <c r="AP143" i="65"/>
  <c r="AP203" i="69"/>
  <c r="AM203" i="69"/>
  <c r="AS183" i="67"/>
  <c r="AX143" i="65"/>
  <c r="AZ143" i="65"/>
  <c r="AK203" i="68"/>
  <c r="AH203" i="68"/>
  <c r="AJ203" i="68"/>
  <c r="W225" i="68"/>
  <c r="X225" i="68"/>
  <c r="S163" i="69"/>
  <c r="R163" i="69"/>
  <c r="R162" i="69" s="1"/>
  <c r="K4" i="69"/>
  <c r="AS203" i="59"/>
  <c r="AV203" i="59"/>
  <c r="AU203" i="59"/>
  <c r="AC225" i="65"/>
  <c r="Y225" i="69"/>
  <c r="Y224" i="69"/>
  <c r="Z224" i="69"/>
  <c r="F179" i="59"/>
  <c r="F178" i="59"/>
  <c r="E179" i="59"/>
  <c r="E178" i="59"/>
  <c r="D22" i="59" s="1"/>
  <c r="AS203" i="68"/>
  <c r="AS205" i="68" s="1"/>
  <c r="X225" i="67"/>
  <c r="W225" i="67"/>
  <c r="X165" i="68"/>
  <c r="W165" i="68"/>
  <c r="AM143" i="59"/>
  <c r="AP143" i="59"/>
  <c r="AO143" i="59"/>
  <c r="AK223" i="67"/>
  <c r="AH223" i="67"/>
  <c r="AI225" i="67" s="1"/>
  <c r="X185" i="67"/>
  <c r="W185" i="67"/>
  <c r="AO203" i="65"/>
  <c r="AP203" i="65"/>
  <c r="M163" i="69"/>
  <c r="M162" i="69" s="1"/>
  <c r="J4" i="69" s="1"/>
  <c r="BA42" i="69" s="1"/>
  <c r="BD42" i="69" s="1"/>
  <c r="N163" i="69"/>
  <c r="N162" i="69"/>
  <c r="F179" i="65"/>
  <c r="F178" i="65" s="1"/>
  <c r="E179" i="65"/>
  <c r="E178" i="65" s="1"/>
  <c r="D22" i="65" s="1"/>
  <c r="S13" i="65" s="1"/>
  <c r="AV225" i="59"/>
  <c r="AV224" i="59" s="1"/>
  <c r="AU225" i="59"/>
  <c r="AU224" i="59" s="1"/>
  <c r="AC205" i="67"/>
  <c r="AD205" i="67" s="1"/>
  <c r="BA203" i="67"/>
  <c r="AK223" i="68"/>
  <c r="AJ223" i="68"/>
  <c r="AH223" i="68"/>
  <c r="AX143" i="59"/>
  <c r="AX145" i="59" s="1"/>
  <c r="AM203" i="68"/>
  <c r="AM205" i="68" s="1"/>
  <c r="AP203" i="68"/>
  <c r="AO203" i="68"/>
  <c r="AU223" i="67"/>
  <c r="AS223" i="67"/>
  <c r="AT225" i="67" s="1"/>
  <c r="AV223" i="67"/>
  <c r="AB205" i="68"/>
  <c r="AC205" i="68"/>
  <c r="BA203" i="65"/>
  <c r="S15" i="67"/>
  <c r="AH165" i="65"/>
  <c r="AV163" i="68"/>
  <c r="AB205" i="65"/>
  <c r="AC205" i="65"/>
  <c r="AS223" i="68"/>
  <c r="AV223" i="68"/>
  <c r="BA203" i="68"/>
  <c r="S163" i="65"/>
  <c r="S162" i="65" s="1"/>
  <c r="R163" i="65"/>
  <c r="R162" i="65"/>
  <c r="K4" i="65" s="1"/>
  <c r="F145" i="59"/>
  <c r="F144" i="59" s="1"/>
  <c r="BA59" i="59" s="1"/>
  <c r="E145" i="59"/>
  <c r="E144" i="59"/>
  <c r="D20" i="59" s="1"/>
  <c r="O13" i="59" s="1"/>
  <c r="BA223" i="69"/>
  <c r="AZ223" i="69"/>
  <c r="AP223" i="59"/>
  <c r="AM223" i="59"/>
  <c r="AO223" i="59"/>
  <c r="AD185" i="68"/>
  <c r="AD184" i="68"/>
  <c r="AE185" i="68"/>
  <c r="AE184" i="68"/>
  <c r="AB145" i="65"/>
  <c r="AC145" i="65"/>
  <c r="AE145" i="65" s="1"/>
  <c r="AC225" i="59"/>
  <c r="AE225" i="59" s="1"/>
  <c r="AB225" i="59"/>
  <c r="AP223" i="69"/>
  <c r="AM223" i="69"/>
  <c r="AO223" i="69"/>
  <c r="AZ223" i="59"/>
  <c r="BA223" i="59"/>
  <c r="BA224" i="59" s="1"/>
  <c r="AJ143" i="59"/>
  <c r="AH143" i="59"/>
  <c r="AK143" i="59"/>
  <c r="AD145" i="69"/>
  <c r="AD144" i="69" s="1"/>
  <c r="AE145" i="69"/>
  <c r="AE144" i="69"/>
  <c r="AB145" i="59"/>
  <c r="AC145" i="59"/>
  <c r="AN185" i="68"/>
  <c r="AM185" i="68"/>
  <c r="AK203" i="59"/>
  <c r="AJ203" i="59"/>
  <c r="AH203" i="59"/>
  <c r="BA40" i="69"/>
  <c r="BD40" i="69"/>
  <c r="AM203" i="67"/>
  <c r="AM205" i="67" s="1"/>
  <c r="AO203" i="67"/>
  <c r="W205" i="68"/>
  <c r="X205" i="68"/>
  <c r="AY185" i="68"/>
  <c r="AX185" i="68"/>
  <c r="E213" i="69"/>
  <c r="E212" i="69" s="1"/>
  <c r="D24" i="69"/>
  <c r="W13" i="69" s="1"/>
  <c r="F213" i="69"/>
  <c r="F212" i="69"/>
  <c r="AJ163" i="68"/>
  <c r="AK163" i="68"/>
  <c r="AH163" i="68"/>
  <c r="AI165" i="68" s="1"/>
  <c r="AX203" i="69"/>
  <c r="AY205" i="69" s="1"/>
  <c r="BA203" i="69"/>
  <c r="AS143" i="59"/>
  <c r="AV143" i="59"/>
  <c r="AU143" i="59"/>
  <c r="AJ183" i="67"/>
  <c r="AK183" i="67"/>
  <c r="AH183" i="67"/>
  <c r="M145" i="65"/>
  <c r="M144" i="65"/>
  <c r="J3" i="65"/>
  <c r="N145" i="65"/>
  <c r="N144" i="65"/>
  <c r="AN205" i="68"/>
  <c r="AI205" i="59"/>
  <c r="AH205" i="59"/>
  <c r="AY225" i="59"/>
  <c r="AD225" i="59"/>
  <c r="AD224" i="59"/>
  <c r="C24" i="59" s="1"/>
  <c r="AE224" i="59"/>
  <c r="AJ165" i="65"/>
  <c r="AJ164" i="65" s="1"/>
  <c r="AK165" i="65"/>
  <c r="AK164" i="65"/>
  <c r="AD204" i="67"/>
  <c r="AE205" i="67"/>
  <c r="AE204" i="67" s="1"/>
  <c r="AE225" i="65"/>
  <c r="AE224" i="65" s="1"/>
  <c r="AD225" i="65"/>
  <c r="AD224" i="65"/>
  <c r="Z225" i="68"/>
  <c r="Z224" i="68" s="1"/>
  <c r="Y225" i="68"/>
  <c r="Y224" i="68" s="1"/>
  <c r="AH165" i="68"/>
  <c r="AN205" i="69"/>
  <c r="AM205" i="69"/>
  <c r="AE205" i="65"/>
  <c r="AE204" i="65" s="1"/>
  <c r="AD205" i="65"/>
  <c r="AD204" i="65" s="1"/>
  <c r="AY145" i="59"/>
  <c r="Y225" i="67"/>
  <c r="Y224" i="67" s="1"/>
  <c r="Z225" i="67"/>
  <c r="Z224" i="67" s="1"/>
  <c r="AH205" i="68"/>
  <c r="AI205" i="68"/>
  <c r="AK205" i="68" s="1"/>
  <c r="AS205" i="59"/>
  <c r="AT205" i="59"/>
  <c r="AE144" i="65"/>
  <c r="AD145" i="65"/>
  <c r="AD144" i="65" s="1"/>
  <c r="Y165" i="68"/>
  <c r="Y164" i="68" s="1"/>
  <c r="Z165" i="68"/>
  <c r="Z164" i="68" s="1"/>
  <c r="AX205" i="69"/>
  <c r="AN225" i="69"/>
  <c r="AM225" i="69"/>
  <c r="O12" i="59"/>
  <c r="AI225" i="68"/>
  <c r="AH225" i="68"/>
  <c r="Z185" i="67"/>
  <c r="Z184" i="67"/>
  <c r="Y185" i="67"/>
  <c r="Y184" i="67"/>
  <c r="S16" i="59"/>
  <c r="AI185" i="67"/>
  <c r="AH185" i="67"/>
  <c r="Z205" i="68"/>
  <c r="Z204" i="68" s="1"/>
  <c r="Y205" i="68"/>
  <c r="AD145" i="59"/>
  <c r="AD144" i="59" s="1"/>
  <c r="AE145" i="59"/>
  <c r="AH145" i="59"/>
  <c r="AI145" i="59"/>
  <c r="BA59" i="67"/>
  <c r="BD59" i="67"/>
  <c r="BA59" i="69"/>
  <c r="BD59" i="69" s="1"/>
  <c r="BD59" i="59"/>
  <c r="BA59" i="65"/>
  <c r="BD59" i="65"/>
  <c r="BA59" i="68"/>
  <c r="BD59" i="68" s="1"/>
  <c r="AD205" i="68"/>
  <c r="AD204" i="68" s="1"/>
  <c r="AE205" i="68"/>
  <c r="AE204" i="68"/>
  <c r="AN205" i="65"/>
  <c r="AM205" i="65"/>
  <c r="AH225" i="67"/>
  <c r="AN145" i="59"/>
  <c r="AM145" i="59"/>
  <c r="AT205" i="68"/>
  <c r="AV205" i="68" s="1"/>
  <c r="AX145" i="65"/>
  <c r="AY145" i="65"/>
  <c r="AS185" i="67"/>
  <c r="AT185" i="67"/>
  <c r="AM145" i="65"/>
  <c r="AN145" i="65"/>
  <c r="AU205" i="68"/>
  <c r="AP205" i="65"/>
  <c r="AP204" i="65" s="1"/>
  <c r="AO205" i="65"/>
  <c r="AO204" i="65" s="1"/>
  <c r="AK185" i="67"/>
  <c r="AK184" i="67" s="1"/>
  <c r="AJ185" i="67"/>
  <c r="AJ184" i="67"/>
  <c r="AV205" i="59"/>
  <c r="AV204" i="59" s="1"/>
  <c r="AU205" i="59"/>
  <c r="AU204" i="59"/>
  <c r="AJ205" i="68"/>
  <c r="AJ204" i="68"/>
  <c r="AK204" i="68"/>
  <c r="AV225" i="67"/>
  <c r="AV224" i="67" s="1"/>
  <c r="AU225" i="67"/>
  <c r="AU224" i="67" s="1"/>
  <c r="AP145" i="59"/>
  <c r="AP144" i="59"/>
  <c r="AO145" i="59"/>
  <c r="AO144" i="59"/>
  <c r="AP225" i="69"/>
  <c r="AP224" i="69"/>
  <c r="AO225" i="69"/>
  <c r="AO224" i="69"/>
  <c r="AJ205" i="59"/>
  <c r="AJ204" i="59" s="1"/>
  <c r="AK205" i="59"/>
  <c r="AK204" i="59"/>
  <c r="AK145" i="59"/>
  <c r="AK144" i="59" s="1"/>
  <c r="AJ145" i="59"/>
  <c r="AJ144" i="59" s="1"/>
  <c r="AJ165" i="68"/>
  <c r="AJ164" i="68" s="1"/>
  <c r="AK165" i="68"/>
  <c r="AK164" i="68"/>
  <c r="AV185" i="67"/>
  <c r="AU185" i="67"/>
  <c r="AU184" i="67"/>
  <c r="AJ225" i="68"/>
  <c r="AJ224" i="68" s="1"/>
  <c r="AK225" i="68"/>
  <c r="AK224" i="68" s="1"/>
  <c r="BA145" i="59"/>
  <c r="AZ145" i="59"/>
  <c r="AZ225" i="59"/>
  <c r="BA225" i="59"/>
  <c r="BA205" i="69"/>
  <c r="BA204" i="69" s="1"/>
  <c r="AZ205" i="69"/>
  <c r="AZ204" i="69"/>
  <c r="AP145" i="65"/>
  <c r="AP144" i="65"/>
  <c r="AO145" i="65"/>
  <c r="AO144" i="65"/>
  <c r="AJ225" i="67"/>
  <c r="AJ224" i="67" s="1"/>
  <c r="AK225" i="67"/>
  <c r="AK224" i="67"/>
  <c r="W16" i="69"/>
  <c r="AD21" i="68"/>
  <c r="U12" i="68"/>
  <c r="AC18" i="67"/>
  <c r="O14" i="67"/>
  <c r="O13" i="67"/>
  <c r="O16" i="67"/>
  <c r="U13" i="65"/>
  <c r="W12" i="65"/>
  <c r="L80" i="65"/>
  <c r="U12" i="65"/>
  <c r="U15" i="65"/>
  <c r="AD21" i="65"/>
  <c r="H20" i="72" l="1"/>
  <c r="W12" i="69"/>
  <c r="M80" i="69"/>
  <c r="AD22" i="69"/>
  <c r="AD21" i="69"/>
  <c r="AC19" i="67"/>
  <c r="Q14" i="67"/>
  <c r="AD19" i="67"/>
  <c r="Q15" i="67"/>
  <c r="Q16" i="67"/>
  <c r="Q13" i="67"/>
  <c r="K80" i="65"/>
  <c r="K121" i="65" s="1"/>
  <c r="K120" i="65" s="1"/>
  <c r="K119" i="65" s="1"/>
  <c r="K118" i="65" s="1"/>
  <c r="K117" i="65" s="1"/>
  <c r="K116" i="65" s="1"/>
  <c r="K115" i="65" s="1"/>
  <c r="K114" i="65" s="1"/>
  <c r="K113" i="65" s="1"/>
  <c r="K112" i="65" s="1"/>
  <c r="K111" i="65" s="1"/>
  <c r="K110" i="65" s="1"/>
  <c r="K109" i="65" s="1"/>
  <c r="K108" i="65" s="1"/>
  <c r="K107" i="65" s="1"/>
  <c r="K106" i="65" s="1"/>
  <c r="K105" i="65" s="1"/>
  <c r="K104" i="65" s="1"/>
  <c r="K103" i="65" s="1"/>
  <c r="K102" i="65" s="1"/>
  <c r="K101" i="65" s="1"/>
  <c r="K100" i="65" s="1"/>
  <c r="K99" i="65" s="1"/>
  <c r="K98" i="65" s="1"/>
  <c r="K97" i="65" s="1"/>
  <c r="K96" i="65" s="1"/>
  <c r="K95" i="65" s="1"/>
  <c r="K94" i="65" s="1"/>
  <c r="K93" i="65" s="1"/>
  <c r="K92" i="65" s="1"/>
  <c r="K91" i="65" s="1"/>
  <c r="K90" i="65" s="1"/>
  <c r="K89" i="65" s="1"/>
  <c r="K88" i="65" s="1"/>
  <c r="K87" i="65" s="1"/>
  <c r="K86" i="65" s="1"/>
  <c r="K85" i="65" s="1"/>
  <c r="K84" i="65" s="1"/>
  <c r="K83" i="65" s="1"/>
  <c r="K82" i="65" s="1"/>
  <c r="K81" i="65" s="1"/>
  <c r="S14" i="65"/>
  <c r="BD44" i="69"/>
  <c r="BC25" i="67"/>
  <c r="J121" i="67"/>
  <c r="J120" i="67" s="1"/>
  <c r="J119" i="67" s="1"/>
  <c r="J118" i="67" s="1"/>
  <c r="J117" i="67" s="1"/>
  <c r="J116" i="67" s="1"/>
  <c r="J115" i="67" s="1"/>
  <c r="J114" i="67" s="1"/>
  <c r="J113" i="67" s="1"/>
  <c r="J112" i="67" s="1"/>
  <c r="J111" i="67" s="1"/>
  <c r="J110" i="67" s="1"/>
  <c r="J109" i="67" s="1"/>
  <c r="J108" i="67" s="1"/>
  <c r="J107" i="67" s="1"/>
  <c r="J106" i="67" s="1"/>
  <c r="J105" i="67" s="1"/>
  <c r="J104" i="67" s="1"/>
  <c r="J103" i="67" s="1"/>
  <c r="J102" i="67" s="1"/>
  <c r="J101" i="67" s="1"/>
  <c r="J100" i="67" s="1"/>
  <c r="J99" i="67" s="1"/>
  <c r="J98" i="67" s="1"/>
  <c r="J97" i="67" s="1"/>
  <c r="J96" i="67" s="1"/>
  <c r="J95" i="67" s="1"/>
  <c r="J94" i="67" s="1"/>
  <c r="J93" i="67" s="1"/>
  <c r="J92" i="67" s="1"/>
  <c r="J91" i="67" s="1"/>
  <c r="J90" i="67" s="1"/>
  <c r="J89" i="67" s="1"/>
  <c r="J88" i="67" s="1"/>
  <c r="J87" i="67" s="1"/>
  <c r="J86" i="67" s="1"/>
  <c r="J85" i="67" s="1"/>
  <c r="J84" i="67" s="1"/>
  <c r="J83" i="67" s="1"/>
  <c r="J82" i="67" s="1"/>
  <c r="J81" i="67" s="1"/>
  <c r="U14" i="68"/>
  <c r="AC21" i="68"/>
  <c r="Q12" i="67"/>
  <c r="Q17" i="67" s="1"/>
  <c r="Q18" i="67" s="1"/>
  <c r="E21" i="67" s="1"/>
  <c r="O14" i="68"/>
  <c r="O13" i="68"/>
  <c r="M4" i="69"/>
  <c r="AD20" i="65"/>
  <c r="AD20" i="67"/>
  <c r="U12" i="69"/>
  <c r="K80" i="67"/>
  <c r="K121" i="67" s="1"/>
  <c r="K120" i="67" s="1"/>
  <c r="L80" i="69"/>
  <c r="L121" i="69" s="1"/>
  <c r="L120" i="69" s="1"/>
  <c r="L119" i="69" s="1"/>
  <c r="L118" i="69" s="1"/>
  <c r="L117" i="69" s="1"/>
  <c r="L116" i="69" s="1"/>
  <c r="L115" i="69" s="1"/>
  <c r="L114" i="69" s="1"/>
  <c r="L113" i="69" s="1"/>
  <c r="L112" i="69" s="1"/>
  <c r="L111" i="69" s="1"/>
  <c r="L110" i="69" s="1"/>
  <c r="L109" i="69" s="1"/>
  <c r="L108" i="69" s="1"/>
  <c r="L107" i="69" s="1"/>
  <c r="L106" i="69" s="1"/>
  <c r="L105" i="69" s="1"/>
  <c r="L104" i="69" s="1"/>
  <c r="L103" i="69" s="1"/>
  <c r="L102" i="69" s="1"/>
  <c r="L101" i="69" s="1"/>
  <c r="L100" i="69" s="1"/>
  <c r="L99" i="69" s="1"/>
  <c r="L98" i="69" s="1"/>
  <c r="L97" i="69" s="1"/>
  <c r="L96" i="69" s="1"/>
  <c r="L95" i="69" s="1"/>
  <c r="L94" i="69" s="1"/>
  <c r="L93" i="69" s="1"/>
  <c r="L92" i="69" s="1"/>
  <c r="L91" i="69" s="1"/>
  <c r="L90" i="69" s="1"/>
  <c r="L89" i="69" s="1"/>
  <c r="L88" i="69" s="1"/>
  <c r="L87" i="69" s="1"/>
  <c r="L86" i="69" s="1"/>
  <c r="L85" i="69" s="1"/>
  <c r="L84" i="69" s="1"/>
  <c r="L83" i="69" s="1"/>
  <c r="L82" i="69" s="1"/>
  <c r="L81" i="69" s="1"/>
  <c r="J12" i="66"/>
  <c r="I12" i="66"/>
  <c r="BA7" i="65" s="1"/>
  <c r="L34" i="68"/>
  <c r="L34" i="59"/>
  <c r="L34" i="69"/>
  <c r="L34" i="67"/>
  <c r="C20" i="59"/>
  <c r="C21" i="67"/>
  <c r="C21" i="69"/>
  <c r="C23" i="67"/>
  <c r="C22" i="69"/>
  <c r="C24" i="67"/>
  <c r="C23" i="69"/>
  <c r="C21" i="65"/>
  <c r="BA25" i="69"/>
  <c r="BE44" i="69"/>
  <c r="BE25" i="69" s="1"/>
  <c r="AP185" i="68"/>
  <c r="AP184" i="68" s="1"/>
  <c r="AO185" i="68"/>
  <c r="AO184" i="68" s="1"/>
  <c r="AD20" i="59"/>
  <c r="S14" i="59"/>
  <c r="S15" i="59"/>
  <c r="K80" i="59"/>
  <c r="S12" i="59"/>
  <c r="S13" i="59"/>
  <c r="AE20" i="59"/>
  <c r="AC20" i="59"/>
  <c r="AM225" i="59"/>
  <c r="AN225" i="59"/>
  <c r="AS165" i="65"/>
  <c r="AT165" i="65"/>
  <c r="AY225" i="69"/>
  <c r="AX225" i="69"/>
  <c r="AZ224" i="59"/>
  <c r="AZ145" i="65"/>
  <c r="AZ144" i="65" s="1"/>
  <c r="BA145" i="65"/>
  <c r="BA144" i="65" s="1"/>
  <c r="AP205" i="69"/>
  <c r="AP204" i="69" s="1"/>
  <c r="AO205" i="69"/>
  <c r="AO204" i="69" s="1"/>
  <c r="AS225" i="68"/>
  <c r="AT225" i="68"/>
  <c r="L121" i="65"/>
  <c r="L120" i="65" s="1"/>
  <c r="L119" i="65" s="1"/>
  <c r="L118" i="65" s="1"/>
  <c r="L117" i="65" s="1"/>
  <c r="L116" i="65" s="1"/>
  <c r="L115" i="65" s="1"/>
  <c r="L114" i="65" s="1"/>
  <c r="L113" i="65" s="1"/>
  <c r="L112" i="65" s="1"/>
  <c r="L111" i="65" s="1"/>
  <c r="L110" i="65" s="1"/>
  <c r="L109" i="65" s="1"/>
  <c r="L108" i="65" s="1"/>
  <c r="L107" i="65" s="1"/>
  <c r="L106" i="65" s="1"/>
  <c r="L105" i="65" s="1"/>
  <c r="L104" i="65" s="1"/>
  <c r="L103" i="65" s="1"/>
  <c r="L102" i="65" s="1"/>
  <c r="L101" i="65" s="1"/>
  <c r="L100" i="65" s="1"/>
  <c r="L99" i="65" s="1"/>
  <c r="L98" i="65" s="1"/>
  <c r="L97" i="65" s="1"/>
  <c r="L96" i="65" s="1"/>
  <c r="L95" i="65" s="1"/>
  <c r="L94" i="65" s="1"/>
  <c r="L93" i="65" s="1"/>
  <c r="L92" i="65" s="1"/>
  <c r="L91" i="65" s="1"/>
  <c r="L90" i="65" s="1"/>
  <c r="L89" i="65" s="1"/>
  <c r="L88" i="65" s="1"/>
  <c r="L87" i="65" s="1"/>
  <c r="L86" i="65" s="1"/>
  <c r="L85" i="65" s="1"/>
  <c r="L84" i="65" s="1"/>
  <c r="L83" i="65" s="1"/>
  <c r="L82" i="65" s="1"/>
  <c r="L81" i="65" s="1"/>
  <c r="AP205" i="68"/>
  <c r="AP204" i="68" s="1"/>
  <c r="AO205" i="68"/>
  <c r="AO204" i="68" s="1"/>
  <c r="BA185" i="68"/>
  <c r="BA184" i="68" s="1"/>
  <c r="AZ185" i="68"/>
  <c r="AZ184" i="68" s="1"/>
  <c r="AB225" i="69"/>
  <c r="AC225" i="69"/>
  <c r="AT145" i="59"/>
  <c r="AS145" i="59"/>
  <c r="AE18" i="59"/>
  <c r="AC18" i="59"/>
  <c r="O15" i="59"/>
  <c r="AS225" i="67"/>
  <c r="AD18" i="59"/>
  <c r="AC20" i="65"/>
  <c r="S16" i="65"/>
  <c r="S15" i="65"/>
  <c r="S12" i="65"/>
  <c r="AU163" i="68"/>
  <c r="AS163" i="68"/>
  <c r="AU203" i="68"/>
  <c r="AU204" i="68" s="1"/>
  <c r="AV203" i="68"/>
  <c r="AV204" i="68" s="1"/>
  <c r="O12" i="67"/>
  <c r="O15" i="67"/>
  <c r="I80" i="67"/>
  <c r="AD18" i="67"/>
  <c r="O14" i="59"/>
  <c r="AN205" i="67"/>
  <c r="AZ143" i="59"/>
  <c r="AZ144" i="59" s="1"/>
  <c r="BA143" i="59"/>
  <c r="BA144" i="59" s="1"/>
  <c r="Z145" i="65"/>
  <c r="Z144" i="65" s="1"/>
  <c r="Y145" i="65"/>
  <c r="Y144" i="65" s="1"/>
  <c r="O16" i="59"/>
  <c r="AC22" i="69"/>
  <c r="W15" i="69"/>
  <c r="W14" i="69"/>
  <c r="I80" i="59"/>
  <c r="AZ203" i="68"/>
  <c r="AX203" i="68"/>
  <c r="S13" i="67"/>
  <c r="S14" i="67"/>
  <c r="S12" i="67"/>
  <c r="S16" i="67"/>
  <c r="AX203" i="67"/>
  <c r="N178" i="65"/>
  <c r="N177" i="65" s="1"/>
  <c r="M178" i="65"/>
  <c r="M177" i="65" s="1"/>
  <c r="J5" i="65" s="1"/>
  <c r="AB203" i="69"/>
  <c r="AE203" i="69"/>
  <c r="BA34" i="69"/>
  <c r="BD34" i="69" s="1"/>
  <c r="M3" i="69"/>
  <c r="X165" i="65"/>
  <c r="W165" i="65"/>
  <c r="J80" i="69"/>
  <c r="Q14" i="69"/>
  <c r="Q17" i="69" s="1"/>
  <c r="Q18" i="69" s="1"/>
  <c r="E21" i="69" s="1"/>
  <c r="BA165" i="65"/>
  <c r="BA164" i="65" s="1"/>
  <c r="AZ165" i="65"/>
  <c r="AZ164" i="65" s="1"/>
  <c r="AV183" i="67"/>
  <c r="AV184" i="67" s="1"/>
  <c r="D213" i="67"/>
  <c r="C213" i="67"/>
  <c r="J37" i="72"/>
  <c r="J38" i="71"/>
  <c r="K80" i="68"/>
  <c r="S13" i="68"/>
  <c r="S12" i="68"/>
  <c r="AD20" i="68"/>
  <c r="S14" i="68"/>
  <c r="S15" i="68"/>
  <c r="S16" i="68"/>
  <c r="AC20" i="68"/>
  <c r="AD205" i="59"/>
  <c r="AD204" i="59" s="1"/>
  <c r="C23" i="59" s="1"/>
  <c r="AE205" i="59"/>
  <c r="AE204" i="59" s="1"/>
  <c r="AP164" i="68"/>
  <c r="AX203" i="65"/>
  <c r="AC21" i="69"/>
  <c r="AC145" i="67"/>
  <c r="AB145" i="67"/>
  <c r="N163" i="59"/>
  <c r="N162" i="59" s="1"/>
  <c r="M163" i="59"/>
  <c r="M162" i="59" s="1"/>
  <c r="J4" i="59" s="1"/>
  <c r="M80" i="65"/>
  <c r="AD22" i="65"/>
  <c r="W16" i="65"/>
  <c r="W15" i="65"/>
  <c r="W14" i="65"/>
  <c r="W13" i="65"/>
  <c r="F196" i="67"/>
  <c r="F195" i="67" s="1"/>
  <c r="E196" i="67"/>
  <c r="E195" i="67" s="1"/>
  <c r="D23" i="67" s="1"/>
  <c r="U14" i="69"/>
  <c r="U13" i="69"/>
  <c r="Y203" i="68"/>
  <c r="Y204" i="68" s="1"/>
  <c r="U15" i="69"/>
  <c r="AU225" i="69"/>
  <c r="AU224" i="69" s="1"/>
  <c r="AV225" i="69"/>
  <c r="AV224" i="69" s="1"/>
  <c r="BA183" i="59"/>
  <c r="AX183" i="59"/>
  <c r="R161" i="59"/>
  <c r="P161" i="59"/>
  <c r="AB183" i="59"/>
  <c r="AD183" i="59"/>
  <c r="AE183" i="59"/>
  <c r="N176" i="67"/>
  <c r="K176" i="67"/>
  <c r="M176" i="67"/>
  <c r="K176" i="68"/>
  <c r="M176" i="68"/>
  <c r="N176" i="68"/>
  <c r="AY144" i="68"/>
  <c r="AY143" i="68" s="1"/>
  <c r="AN143" i="68"/>
  <c r="AY184" i="69"/>
  <c r="AY183" i="69" s="1"/>
  <c r="AN183" i="69"/>
  <c r="AU163" i="65"/>
  <c r="E213" i="59"/>
  <c r="E212" i="59" s="1"/>
  <c r="D24" i="59" s="1"/>
  <c r="AE143" i="59"/>
  <c r="AE144" i="59" s="1"/>
  <c r="AJ165" i="59"/>
  <c r="AJ164" i="59" s="1"/>
  <c r="AK165" i="59"/>
  <c r="AK164" i="59" s="1"/>
  <c r="R145" i="59"/>
  <c r="R144" i="59" s="1"/>
  <c r="K3" i="59" s="1"/>
  <c r="S145" i="59"/>
  <c r="S144" i="59" s="1"/>
  <c r="L163" i="65"/>
  <c r="N161" i="65"/>
  <c r="K163" i="65"/>
  <c r="AK145" i="65"/>
  <c r="AK144" i="65" s="1"/>
  <c r="AJ145" i="65"/>
  <c r="AJ144" i="65" s="1"/>
  <c r="B24" i="65"/>
  <c r="B20" i="65"/>
  <c r="B22" i="69"/>
  <c r="B24" i="67"/>
  <c r="B23" i="69"/>
  <c r="B20" i="67"/>
  <c r="B24" i="69"/>
  <c r="B21" i="65"/>
  <c r="B20" i="69"/>
  <c r="B22" i="65"/>
  <c r="B20" i="59"/>
  <c r="B21" i="68"/>
  <c r="B23" i="65"/>
  <c r="R177" i="68"/>
  <c r="K5" i="68" s="1"/>
  <c r="M163" i="68"/>
  <c r="M162" i="68" s="1"/>
  <c r="J4" i="68" s="1"/>
  <c r="N163" i="68"/>
  <c r="AJ183" i="69"/>
  <c r="AK183" i="69"/>
  <c r="AH183" i="69"/>
  <c r="W165" i="67"/>
  <c r="X165" i="67"/>
  <c r="M4" i="67"/>
  <c r="BA42" i="67"/>
  <c r="BD42" i="67" s="1"/>
  <c r="BD44" i="67" s="1"/>
  <c r="AT145" i="68"/>
  <c r="AS145" i="68"/>
  <c r="O15" i="68"/>
  <c r="O16" i="68"/>
  <c r="AC18" i="68"/>
  <c r="AD18" i="68"/>
  <c r="AT185" i="59"/>
  <c r="AS185" i="59"/>
  <c r="I121" i="68"/>
  <c r="I120" i="68" s="1"/>
  <c r="I119" i="68" s="1"/>
  <c r="I118" i="68" s="1"/>
  <c r="I117" i="68" s="1"/>
  <c r="I116" i="68" s="1"/>
  <c r="I115" i="68" s="1"/>
  <c r="I114" i="68" s="1"/>
  <c r="I113" i="68" s="1"/>
  <c r="I112" i="68" s="1"/>
  <c r="I111" i="68" s="1"/>
  <c r="I110" i="68" s="1"/>
  <c r="I109" i="68" s="1"/>
  <c r="I108" i="68" s="1"/>
  <c r="I107" i="68" s="1"/>
  <c r="I106" i="68" s="1"/>
  <c r="I105" i="68" s="1"/>
  <c r="I104" i="68" s="1"/>
  <c r="I103" i="68" s="1"/>
  <c r="I102" i="68" s="1"/>
  <c r="I101" i="68" s="1"/>
  <c r="I100" i="68" s="1"/>
  <c r="I99" i="68" s="1"/>
  <c r="I98" i="68" s="1"/>
  <c r="I97" i="68" s="1"/>
  <c r="I96" i="68" s="1"/>
  <c r="I95" i="68" s="1"/>
  <c r="I94" i="68" s="1"/>
  <c r="I93" i="68" s="1"/>
  <c r="I92" i="68" s="1"/>
  <c r="I91" i="68" s="1"/>
  <c r="I90" i="68" s="1"/>
  <c r="I89" i="68" s="1"/>
  <c r="I88" i="68" s="1"/>
  <c r="I87" i="68" s="1"/>
  <c r="I86" i="68" s="1"/>
  <c r="I85" i="68" s="1"/>
  <c r="I84" i="68" s="1"/>
  <c r="I83" i="68" s="1"/>
  <c r="I82" i="68" s="1"/>
  <c r="I81" i="68" s="1"/>
  <c r="BA50" i="59"/>
  <c r="BD50" i="59" s="1"/>
  <c r="BD52" i="59" s="1"/>
  <c r="L80" i="68"/>
  <c r="U13" i="68"/>
  <c r="U15" i="68"/>
  <c r="AX165" i="67"/>
  <c r="AY165" i="67"/>
  <c r="BA34" i="67"/>
  <c r="BD34" i="67" s="1"/>
  <c r="W165" i="59"/>
  <c r="X165" i="59"/>
  <c r="Z205" i="59"/>
  <c r="Z204" i="59" s="1"/>
  <c r="AO203" i="59"/>
  <c r="AM203" i="59"/>
  <c r="AP203" i="59"/>
  <c r="N121" i="69"/>
  <c r="N120" i="69" s="1"/>
  <c r="N119" i="69" s="1"/>
  <c r="N118" i="69" s="1"/>
  <c r="N117" i="69" s="1"/>
  <c r="N116" i="69" s="1"/>
  <c r="N115" i="69" s="1"/>
  <c r="N114" i="69" s="1"/>
  <c r="N113" i="69" s="1"/>
  <c r="N112" i="69" s="1"/>
  <c r="N111" i="69" s="1"/>
  <c r="N110" i="69" s="1"/>
  <c r="N109" i="69" s="1"/>
  <c r="N108" i="69" s="1"/>
  <c r="N107" i="69" s="1"/>
  <c r="N106" i="69" s="1"/>
  <c r="N105" i="69" s="1"/>
  <c r="N104" i="69" s="1"/>
  <c r="N103" i="69" s="1"/>
  <c r="N102" i="69" s="1"/>
  <c r="N101" i="69" s="1"/>
  <c r="N100" i="69" s="1"/>
  <c r="N99" i="69" s="1"/>
  <c r="N98" i="69" s="1"/>
  <c r="N97" i="69" s="1"/>
  <c r="N96" i="69" s="1"/>
  <c r="N95" i="69" s="1"/>
  <c r="N94" i="69" s="1"/>
  <c r="N93" i="69" s="1"/>
  <c r="N92" i="69" s="1"/>
  <c r="N91" i="69" s="1"/>
  <c r="N90" i="69" s="1"/>
  <c r="N89" i="69" s="1"/>
  <c r="N88" i="69" s="1"/>
  <c r="N87" i="69" s="1"/>
  <c r="N86" i="69" s="1"/>
  <c r="N85" i="69" s="1"/>
  <c r="N84" i="69" s="1"/>
  <c r="N83" i="69" s="1"/>
  <c r="N82" i="69" s="1"/>
  <c r="N81" i="69" s="1"/>
  <c r="F196" i="68"/>
  <c r="F195" i="68" s="1"/>
  <c r="AC165" i="68"/>
  <c r="AB165" i="68"/>
  <c r="AJ205" i="67"/>
  <c r="AJ204" i="67" s="1"/>
  <c r="E162" i="68"/>
  <c r="E161" i="68" s="1"/>
  <c r="D21" i="68" s="1"/>
  <c r="R178" i="69"/>
  <c r="R177" i="69" s="1"/>
  <c r="K5" i="69" s="1"/>
  <c r="AU205" i="67"/>
  <c r="AU204" i="67" s="1"/>
  <c r="AV205" i="67"/>
  <c r="AV204" i="67" s="1"/>
  <c r="BA223" i="67"/>
  <c r="AZ223" i="67"/>
  <c r="U16" i="65"/>
  <c r="E145" i="69"/>
  <c r="E144" i="69" s="1"/>
  <c r="D20" i="69" s="1"/>
  <c r="AK185" i="65"/>
  <c r="AK184" i="65" s="1"/>
  <c r="E162" i="65"/>
  <c r="E161" i="65" s="1"/>
  <c r="D21" i="65" s="1"/>
  <c r="AY225" i="67"/>
  <c r="U14" i="65"/>
  <c r="F196" i="59"/>
  <c r="F195" i="59" s="1"/>
  <c r="AM165" i="68"/>
  <c r="AM163" i="69"/>
  <c r="AO163" i="69"/>
  <c r="W145" i="68"/>
  <c r="X145" i="68"/>
  <c r="AM163" i="65"/>
  <c r="AO163" i="65"/>
  <c r="BA48" i="69"/>
  <c r="BD48" i="69" s="1"/>
  <c r="AX183" i="67"/>
  <c r="E213" i="68"/>
  <c r="AH145" i="65"/>
  <c r="AJ223" i="59"/>
  <c r="AH223" i="59"/>
  <c r="AK223" i="59"/>
  <c r="AB225" i="68"/>
  <c r="N161" i="68"/>
  <c r="Q178" i="65"/>
  <c r="P178" i="65"/>
  <c r="Y203" i="65"/>
  <c r="W203" i="65"/>
  <c r="R161" i="68"/>
  <c r="P161" i="68"/>
  <c r="R143" i="65"/>
  <c r="R144" i="65" s="1"/>
  <c r="K3" i="65" s="1"/>
  <c r="BA34" i="65" s="1"/>
  <c r="BD34" i="65" s="1"/>
  <c r="O121" i="65"/>
  <c r="O120" i="65"/>
  <c r="O119" i="65"/>
  <c r="O118" i="65" s="1"/>
  <c r="O117" i="65" s="1"/>
  <c r="O116" i="65" s="1"/>
  <c r="O115" i="65" s="1"/>
  <c r="O114" i="65" s="1"/>
  <c r="O113" i="65" s="1"/>
  <c r="O112" i="65" s="1"/>
  <c r="O111" i="65" s="1"/>
  <c r="O110" i="65" s="1"/>
  <c r="O109" i="65" s="1"/>
  <c r="O108" i="65" s="1"/>
  <c r="O107" i="65" s="1"/>
  <c r="O106" i="65" s="1"/>
  <c r="O105" i="65" s="1"/>
  <c r="O104" i="65" s="1"/>
  <c r="O103" i="65" s="1"/>
  <c r="O102" i="65" s="1"/>
  <c r="O101" i="65" s="1"/>
  <c r="O100" i="65" s="1"/>
  <c r="O99" i="65" s="1"/>
  <c r="O98" i="65" s="1"/>
  <c r="O97" i="65" s="1"/>
  <c r="O96" i="65" s="1"/>
  <c r="O95" i="65" s="1"/>
  <c r="O94" i="65" s="1"/>
  <c r="O93" i="65" s="1"/>
  <c r="O92" i="65" s="1"/>
  <c r="O91" i="65" s="1"/>
  <c r="O90" i="65" s="1"/>
  <c r="O89" i="65" s="1"/>
  <c r="O88" i="65" s="1"/>
  <c r="O87" i="65" s="1"/>
  <c r="O86" i="65" s="1"/>
  <c r="O85" i="65" s="1"/>
  <c r="O84" i="65" s="1"/>
  <c r="O83" i="65" s="1"/>
  <c r="O82" i="65" s="1"/>
  <c r="O81" i="65" s="1"/>
  <c r="AD163" i="59"/>
  <c r="AB163" i="59"/>
  <c r="AE163" i="59"/>
  <c r="Y203" i="67"/>
  <c r="W203" i="67"/>
  <c r="Z203" i="67"/>
  <c r="AI183" i="68"/>
  <c r="AT184" i="68"/>
  <c r="AT183" i="68" s="1"/>
  <c r="M143" i="68"/>
  <c r="K143" i="68"/>
  <c r="N143" i="68"/>
  <c r="AI163" i="67"/>
  <c r="AT164" i="67"/>
  <c r="AT163" i="67" s="1"/>
  <c r="C143" i="65"/>
  <c r="F143" i="65"/>
  <c r="AI223" i="65"/>
  <c r="AT224" i="65"/>
  <c r="AT223" i="65" s="1"/>
  <c r="AI143" i="67"/>
  <c r="AT144" i="67"/>
  <c r="AT143" i="67" s="1"/>
  <c r="C24" i="69"/>
  <c r="E194" i="59"/>
  <c r="E195" i="59" s="1"/>
  <c r="D23" i="59" s="1"/>
  <c r="Q118" i="59"/>
  <c r="Q117" i="59" s="1"/>
  <c r="Q116" i="59" s="1"/>
  <c r="Q115" i="59" s="1"/>
  <c r="Q114" i="59" s="1"/>
  <c r="Q113" i="59" s="1"/>
  <c r="Q112" i="59" s="1"/>
  <c r="Q111" i="59" s="1"/>
  <c r="Q110" i="59" s="1"/>
  <c r="Q109" i="59" s="1"/>
  <c r="Q108" i="59" s="1"/>
  <c r="Q107" i="59" s="1"/>
  <c r="Q106" i="59" s="1"/>
  <c r="Q105" i="59" s="1"/>
  <c r="Q104" i="59" s="1"/>
  <c r="Q103" i="59" s="1"/>
  <c r="Q102" i="59" s="1"/>
  <c r="Q101" i="59" s="1"/>
  <c r="Q100" i="59" s="1"/>
  <c r="Q99" i="59" s="1"/>
  <c r="Q98" i="59" s="1"/>
  <c r="Q97" i="59" s="1"/>
  <c r="Q96" i="59" s="1"/>
  <c r="Q95" i="59" s="1"/>
  <c r="Q94" i="59" s="1"/>
  <c r="Q93" i="59" s="1"/>
  <c r="Q92" i="59" s="1"/>
  <c r="Q91" i="59" s="1"/>
  <c r="Q90" i="59" s="1"/>
  <c r="Q89" i="59" s="1"/>
  <c r="Q88" i="59" s="1"/>
  <c r="Q87" i="59" s="1"/>
  <c r="Q86" i="59" s="1"/>
  <c r="Q85" i="59" s="1"/>
  <c r="Q84" i="59" s="1"/>
  <c r="Q83" i="59" s="1"/>
  <c r="Q82" i="59" s="1"/>
  <c r="Q81" i="59" s="1"/>
  <c r="P121" i="67"/>
  <c r="P120" i="67" s="1"/>
  <c r="P119" i="67" s="1"/>
  <c r="P118" i="67" s="1"/>
  <c r="P117" i="67" s="1"/>
  <c r="P116" i="67" s="1"/>
  <c r="P115" i="67" s="1"/>
  <c r="P114" i="67"/>
  <c r="P113" i="67" s="1"/>
  <c r="P112" i="67" s="1"/>
  <c r="P111" i="67" s="1"/>
  <c r="P110" i="67" s="1"/>
  <c r="P109" i="67" s="1"/>
  <c r="P108" i="67" s="1"/>
  <c r="P107" i="67" s="1"/>
  <c r="P106" i="67" s="1"/>
  <c r="P105" i="67" s="1"/>
  <c r="P104" i="67" s="1"/>
  <c r="P103" i="67" s="1"/>
  <c r="P102" i="67" s="1"/>
  <c r="P101" i="67" s="1"/>
  <c r="P100" i="67" s="1"/>
  <c r="P99" i="67" s="1"/>
  <c r="P98" i="67" s="1"/>
  <c r="P97" i="67" s="1"/>
  <c r="P96" i="67" s="1"/>
  <c r="P95" i="67" s="1"/>
  <c r="P94" i="67" s="1"/>
  <c r="P93" i="67" s="1"/>
  <c r="P92" i="67" s="1"/>
  <c r="P91" i="67" s="1"/>
  <c r="P90" i="67" s="1"/>
  <c r="P89" i="67" s="1"/>
  <c r="P88" i="67" s="1"/>
  <c r="P87" i="67" s="1"/>
  <c r="P86" i="67" s="1"/>
  <c r="P85" i="67" s="1"/>
  <c r="P84" i="67" s="1"/>
  <c r="P83" i="67" s="1"/>
  <c r="P82" i="67" s="1"/>
  <c r="P81" i="67" s="1"/>
  <c r="F177" i="69"/>
  <c r="C177" i="69"/>
  <c r="AY184" i="65"/>
  <c r="AY183" i="65" s="1"/>
  <c r="AN183" i="65"/>
  <c r="C160" i="59"/>
  <c r="E160" i="59"/>
  <c r="Z163" i="65"/>
  <c r="Y163" i="65"/>
  <c r="AE183" i="65"/>
  <c r="AE184" i="65" s="1"/>
  <c r="AI204" i="65"/>
  <c r="AC223" i="67"/>
  <c r="E211" i="68"/>
  <c r="K145" i="69"/>
  <c r="G8" i="66"/>
  <c r="L36" i="69"/>
  <c r="P36" i="69" s="1"/>
  <c r="AI144" i="69"/>
  <c r="G9" i="66"/>
  <c r="G11" i="66"/>
  <c r="C22" i="67"/>
  <c r="N119" i="65"/>
  <c r="N118" i="65" s="1"/>
  <c r="N117" i="65" s="1"/>
  <c r="N116" i="65" s="1"/>
  <c r="N115" i="65" s="1"/>
  <c r="N114" i="65" s="1"/>
  <c r="N120" i="59"/>
  <c r="N119" i="59" s="1"/>
  <c r="N118" i="59" s="1"/>
  <c r="N117" i="59" s="1"/>
  <c r="N116" i="59" s="1"/>
  <c r="N115" i="59" s="1"/>
  <c r="N114" i="59" s="1"/>
  <c r="N113" i="59" s="1"/>
  <c r="N112" i="59" s="1"/>
  <c r="N111" i="59" s="1"/>
  <c r="N110" i="59" s="1"/>
  <c r="N109" i="59" s="1"/>
  <c r="N108" i="59" s="1"/>
  <c r="N107" i="59" s="1"/>
  <c r="N106" i="59" s="1"/>
  <c r="N105" i="59" s="1"/>
  <c r="N104" i="59" s="1"/>
  <c r="N103" i="59" s="1"/>
  <c r="N102" i="59" s="1"/>
  <c r="N101" i="59" s="1"/>
  <c r="N100" i="59" s="1"/>
  <c r="N99" i="59" s="1"/>
  <c r="N98" i="59" s="1"/>
  <c r="N97" i="59" s="1"/>
  <c r="N96" i="59" s="1"/>
  <c r="N95" i="59" s="1"/>
  <c r="N94" i="59" s="1"/>
  <c r="N93" i="59" s="1"/>
  <c r="N92" i="59" s="1"/>
  <c r="N91" i="59" s="1"/>
  <c r="N90" i="59" s="1"/>
  <c r="N89" i="59" s="1"/>
  <c r="N88" i="59" s="1"/>
  <c r="N87" i="59" s="1"/>
  <c r="N86" i="59" s="1"/>
  <c r="N85" i="59" s="1"/>
  <c r="N84" i="59" s="1"/>
  <c r="N83" i="59" s="1"/>
  <c r="N82" i="59" s="1"/>
  <c r="N81" i="59" s="1"/>
  <c r="N120" i="65"/>
  <c r="N121" i="59"/>
  <c r="AC143" i="68"/>
  <c r="B23" i="67"/>
  <c r="B21" i="69"/>
  <c r="C20" i="68"/>
  <c r="BA7" i="68"/>
  <c r="F143" i="67"/>
  <c r="F144" i="67" s="1"/>
  <c r="X143" i="67"/>
  <c r="R176" i="68"/>
  <c r="I11" i="66"/>
  <c r="I9" i="66"/>
  <c r="B22" i="67"/>
  <c r="C20" i="67"/>
  <c r="C24" i="68"/>
  <c r="BA7" i="69"/>
  <c r="AH203" i="69"/>
  <c r="L36" i="59"/>
  <c r="P36" i="59" s="1"/>
  <c r="B21" i="67"/>
  <c r="C20" i="65"/>
  <c r="C23" i="68"/>
  <c r="AN223" i="68"/>
  <c r="B20" i="68"/>
  <c r="C24" i="65"/>
  <c r="C22" i="68"/>
  <c r="N112" i="65"/>
  <c r="N111" i="65" s="1"/>
  <c r="N110" i="65" s="1"/>
  <c r="N109" i="65" s="1"/>
  <c r="N108" i="65" s="1"/>
  <c r="N107" i="65" s="1"/>
  <c r="N106" i="65" s="1"/>
  <c r="N105" i="65" s="1"/>
  <c r="N104" i="65" s="1"/>
  <c r="N103" i="65" s="1"/>
  <c r="N102" i="65" s="1"/>
  <c r="N101" i="65" s="1"/>
  <c r="N100" i="65" s="1"/>
  <c r="N99" i="65" s="1"/>
  <c r="N98" i="65" s="1"/>
  <c r="N97" i="65" s="1"/>
  <c r="N96" i="65" s="1"/>
  <c r="N95" i="65" s="1"/>
  <c r="N94" i="65" s="1"/>
  <c r="N93" i="65" s="1"/>
  <c r="N92" i="65" s="1"/>
  <c r="N91" i="65" s="1"/>
  <c r="N90" i="65" s="1"/>
  <c r="N89" i="65" s="1"/>
  <c r="N88" i="65" s="1"/>
  <c r="N87" i="65" s="1"/>
  <c r="N86" i="65" s="1"/>
  <c r="N85" i="65" s="1"/>
  <c r="N84" i="65" s="1"/>
  <c r="N83" i="65" s="1"/>
  <c r="N82" i="65" s="1"/>
  <c r="N81" i="65" s="1"/>
  <c r="O119" i="67"/>
  <c r="O118" i="67" s="1"/>
  <c r="O117" i="67" s="1"/>
  <c r="O116" i="67" s="1"/>
  <c r="O115" i="67" s="1"/>
  <c r="O114" i="67" s="1"/>
  <c r="O113" i="67" s="1"/>
  <c r="O112" i="67" s="1"/>
  <c r="O111" i="67" s="1"/>
  <c r="O110" i="67" s="1"/>
  <c r="O109" i="67" s="1"/>
  <c r="O108" i="67" s="1"/>
  <c r="O107" i="67" s="1"/>
  <c r="O106" i="67" s="1"/>
  <c r="O105" i="67" s="1"/>
  <c r="O104" i="67" s="1"/>
  <c r="O103" i="67" s="1"/>
  <c r="O102" i="67" s="1"/>
  <c r="O101" i="67" s="1"/>
  <c r="O100" i="67" s="1"/>
  <c r="O99" i="67" s="1"/>
  <c r="O98" i="67" s="1"/>
  <c r="O97" i="67" s="1"/>
  <c r="O96" i="67" s="1"/>
  <c r="O95" i="67" s="1"/>
  <c r="O94" i="67" s="1"/>
  <c r="O93" i="67" s="1"/>
  <c r="O92" i="67" s="1"/>
  <c r="O91" i="67" s="1"/>
  <c r="O90" i="67" s="1"/>
  <c r="O89" i="67" s="1"/>
  <c r="O88" i="67" s="1"/>
  <c r="O87" i="67" s="1"/>
  <c r="O86" i="67" s="1"/>
  <c r="O85" i="67" s="1"/>
  <c r="O84" i="67" s="1"/>
  <c r="O83" i="67" s="1"/>
  <c r="O82" i="67" s="1"/>
  <c r="O81" i="67" s="1"/>
  <c r="AN164" i="59"/>
  <c r="K10" i="66"/>
  <c r="B24" i="68"/>
  <c r="C21" i="68"/>
  <c r="L36" i="65"/>
  <c r="P36" i="65" s="1"/>
  <c r="N113" i="65"/>
  <c r="AN144" i="67"/>
  <c r="B23" i="68"/>
  <c r="C23" i="65"/>
  <c r="C20" i="69"/>
  <c r="L36" i="67"/>
  <c r="P36" i="67" s="1"/>
  <c r="B22" i="68"/>
  <c r="C22" i="65"/>
  <c r="M121" i="69" l="1"/>
  <c r="M120" i="69" s="1"/>
  <c r="M119" i="69" s="1"/>
  <c r="M118" i="69" s="1"/>
  <c r="M117" i="69" s="1"/>
  <c r="M116" i="69" s="1"/>
  <c r="M115" i="69" s="1"/>
  <c r="M114" i="69" s="1"/>
  <c r="M113" i="69" s="1"/>
  <c r="M112" i="69" s="1"/>
  <c r="M111" i="69" s="1"/>
  <c r="M110" i="69" s="1"/>
  <c r="M109" i="69" s="1"/>
  <c r="M108" i="69" s="1"/>
  <c r="M107" i="69" s="1"/>
  <c r="M106" i="69" s="1"/>
  <c r="M105" i="69" s="1"/>
  <c r="M104" i="69" s="1"/>
  <c r="M103" i="69" s="1"/>
  <c r="M102" i="69" s="1"/>
  <c r="M101" i="69" s="1"/>
  <c r="M100" i="69" s="1"/>
  <c r="M99" i="69" s="1"/>
  <c r="M98" i="69" s="1"/>
  <c r="M97" i="69" s="1"/>
  <c r="M96" i="69" s="1"/>
  <c r="M95" i="69" s="1"/>
  <c r="M94" i="69" s="1"/>
  <c r="M93" i="69" s="1"/>
  <c r="M92" i="69" s="1"/>
  <c r="M91" i="69" s="1"/>
  <c r="M90" i="69" s="1"/>
  <c r="M89" i="69" s="1"/>
  <c r="M88" i="69" s="1"/>
  <c r="M87" i="69" s="1"/>
  <c r="M86" i="69" s="1"/>
  <c r="M85" i="69" s="1"/>
  <c r="M84" i="69" s="1"/>
  <c r="M83" i="69" s="1"/>
  <c r="M82" i="69" s="1"/>
  <c r="M81" i="69" s="1"/>
  <c r="U17" i="68"/>
  <c r="U18" i="68" s="1"/>
  <c r="E23" i="68" s="1"/>
  <c r="O17" i="68"/>
  <c r="O18" i="68" s="1"/>
  <c r="O17" i="67"/>
  <c r="O18" i="67" s="1"/>
  <c r="AF20" i="59"/>
  <c r="S17" i="59"/>
  <c r="S18" i="59" s="1"/>
  <c r="E22" i="59" s="1"/>
  <c r="G29" i="66" s="1"/>
  <c r="U17" i="69"/>
  <c r="U18" i="69" s="1"/>
  <c r="E23" i="69" s="1"/>
  <c r="S17" i="67"/>
  <c r="S18" i="67" s="1"/>
  <c r="E22" i="67" s="1"/>
  <c r="S17" i="65"/>
  <c r="S18" i="65" s="1"/>
  <c r="E22" i="65" s="1"/>
  <c r="O17" i="59"/>
  <c r="O18" i="59" s="1"/>
  <c r="W17" i="69"/>
  <c r="W18" i="69" s="1"/>
  <c r="E24" i="69" s="1"/>
  <c r="K119" i="67"/>
  <c r="K118" i="67" s="1"/>
  <c r="K117" i="67" s="1"/>
  <c r="K116" i="67" s="1"/>
  <c r="K115" i="67" s="1"/>
  <c r="K114" i="67" s="1"/>
  <c r="K113" i="67" s="1"/>
  <c r="K112" i="67" s="1"/>
  <c r="K111" i="67" s="1"/>
  <c r="K110" i="67" s="1"/>
  <c r="K109" i="67" s="1"/>
  <c r="K108" i="67" s="1"/>
  <c r="K107" i="67" s="1"/>
  <c r="K106" i="67" s="1"/>
  <c r="K105" i="67" s="1"/>
  <c r="K104" i="67" s="1"/>
  <c r="K103" i="67" s="1"/>
  <c r="K102" i="67" s="1"/>
  <c r="K101" i="67" s="1"/>
  <c r="K100" i="67" s="1"/>
  <c r="K99" i="67" s="1"/>
  <c r="K98" i="67" s="1"/>
  <c r="K97" i="67" s="1"/>
  <c r="K96" i="67" s="1"/>
  <c r="K95" i="67" s="1"/>
  <c r="K94" i="67" s="1"/>
  <c r="K93" i="67" s="1"/>
  <c r="K92" i="67" s="1"/>
  <c r="K91" i="67" s="1"/>
  <c r="K90" i="67" s="1"/>
  <c r="K89" i="67" s="1"/>
  <c r="K88" i="67" s="1"/>
  <c r="K87" i="67" s="1"/>
  <c r="K86" i="67" s="1"/>
  <c r="K85" i="67" s="1"/>
  <c r="K84" i="67" s="1"/>
  <c r="K83" i="67" s="1"/>
  <c r="K82" i="67" s="1"/>
  <c r="K81" i="67" s="1"/>
  <c r="BA7" i="59"/>
  <c r="BA16" i="59" s="1"/>
  <c r="BD16" i="59" s="1"/>
  <c r="BA7" i="67"/>
  <c r="BD7" i="67" s="1"/>
  <c r="BA16" i="65"/>
  <c r="BD16" i="65" s="1"/>
  <c r="BD7" i="65"/>
  <c r="U16" i="59"/>
  <c r="U12" i="59"/>
  <c r="AE21" i="59"/>
  <c r="AC21" i="59"/>
  <c r="U14" i="59"/>
  <c r="U15" i="59"/>
  <c r="L80" i="59"/>
  <c r="AD21" i="59"/>
  <c r="U13" i="59"/>
  <c r="E20" i="59"/>
  <c r="BE44" i="67"/>
  <c r="BE25" i="67" s="1"/>
  <c r="BA25" i="67"/>
  <c r="BD25" i="67" s="1"/>
  <c r="B34" i="68"/>
  <c r="B32" i="68"/>
  <c r="H246" i="68" s="1"/>
  <c r="E20" i="68"/>
  <c r="AY205" i="68"/>
  <c r="AX205" i="68"/>
  <c r="BD7" i="69"/>
  <c r="BA16" i="69"/>
  <c r="BD16" i="69" s="1"/>
  <c r="BA32" i="69"/>
  <c r="BD32" i="69" s="1"/>
  <c r="BD36" i="69" s="1"/>
  <c r="BA32" i="68"/>
  <c r="BD32" i="68" s="1"/>
  <c r="BA32" i="59"/>
  <c r="BD32" i="59" s="1"/>
  <c r="AC205" i="69"/>
  <c r="AB205" i="69"/>
  <c r="I121" i="67"/>
  <c r="I120" i="67" s="1"/>
  <c r="I119" i="67" s="1"/>
  <c r="I118" i="67" s="1"/>
  <c r="I117" i="67" s="1"/>
  <c r="I116" i="67" s="1"/>
  <c r="I115" i="67" s="1"/>
  <c r="I114" i="67" s="1"/>
  <c r="I113" i="67" s="1"/>
  <c r="I112" i="67" s="1"/>
  <c r="I111" i="67" s="1"/>
  <c r="I110" i="67" s="1"/>
  <c r="I109" i="67" s="1"/>
  <c r="I108" i="67" s="1"/>
  <c r="I107" i="67" s="1"/>
  <c r="I106" i="67" s="1"/>
  <c r="I105" i="67" s="1"/>
  <c r="I104" i="67" s="1"/>
  <c r="I103" i="67" s="1"/>
  <c r="I102" i="67" s="1"/>
  <c r="I101" i="67" s="1"/>
  <c r="I100" i="67" s="1"/>
  <c r="I99" i="67" s="1"/>
  <c r="I98" i="67" s="1"/>
  <c r="I97" i="67" s="1"/>
  <c r="I96" i="67" s="1"/>
  <c r="I95" i="67" s="1"/>
  <c r="I94" i="67" s="1"/>
  <c r="I93" i="67" s="1"/>
  <c r="I92" i="67" s="1"/>
  <c r="I91" i="67" s="1"/>
  <c r="I90" i="67" s="1"/>
  <c r="I89" i="67" s="1"/>
  <c r="I88" i="67" s="1"/>
  <c r="I87" i="67" s="1"/>
  <c r="I86" i="67" s="1"/>
  <c r="I85" i="67" s="1"/>
  <c r="I84" i="67" s="1"/>
  <c r="I83" i="67" s="1"/>
  <c r="I82" i="67" s="1"/>
  <c r="I81" i="67" s="1"/>
  <c r="D179" i="69"/>
  <c r="C179" i="69"/>
  <c r="AV143" i="67"/>
  <c r="AS143" i="67"/>
  <c r="AU143" i="67"/>
  <c r="AV183" i="68"/>
  <c r="AU183" i="68"/>
  <c r="AS183" i="68"/>
  <c r="S178" i="65"/>
  <c r="S177" i="65" s="1"/>
  <c r="R178" i="65"/>
  <c r="R177" i="65" s="1"/>
  <c r="K5" i="65" s="1"/>
  <c r="M5" i="65" s="1"/>
  <c r="AE19" i="65" s="1"/>
  <c r="Y145" i="68"/>
  <c r="Y144" i="68" s="1"/>
  <c r="Z145" i="68"/>
  <c r="Z144" i="68" s="1"/>
  <c r="BA34" i="59"/>
  <c r="BD34" i="59" s="1"/>
  <c r="M3" i="59"/>
  <c r="K178" i="68"/>
  <c r="L178" i="68"/>
  <c r="F213" i="67"/>
  <c r="F212" i="67" s="1"/>
  <c r="E213" i="67"/>
  <c r="E212" i="67" s="1"/>
  <c r="D24" i="67" s="1"/>
  <c r="BA32" i="65"/>
  <c r="BD32" i="65" s="1"/>
  <c r="BD36" i="65" s="1"/>
  <c r="I121" i="59"/>
  <c r="I120" i="59" s="1"/>
  <c r="I119" i="59" s="1"/>
  <c r="I118" i="59" s="1"/>
  <c r="I117" i="59" s="1"/>
  <c r="I116" i="59" s="1"/>
  <c r="I115" i="59" s="1"/>
  <c r="I114" i="59" s="1"/>
  <c r="I113" i="59" s="1"/>
  <c r="I112" i="59" s="1"/>
  <c r="I111" i="59" s="1"/>
  <c r="I110" i="59" s="1"/>
  <c r="I109" i="59" s="1"/>
  <c r="I108" i="59" s="1"/>
  <c r="I107" i="59" s="1"/>
  <c r="I106" i="59" s="1"/>
  <c r="I105" i="59" s="1"/>
  <c r="I104" i="59" s="1"/>
  <c r="I103" i="59" s="1"/>
  <c r="I102" i="59" s="1"/>
  <c r="I101" i="59" s="1"/>
  <c r="I100" i="59" s="1"/>
  <c r="I99" i="59" s="1"/>
  <c r="I98" i="59" s="1"/>
  <c r="I97" i="59" s="1"/>
  <c r="I96" i="59" s="1"/>
  <c r="I95" i="59" s="1"/>
  <c r="I94" i="59" s="1"/>
  <c r="I93" i="59" s="1"/>
  <c r="I92" i="59" s="1"/>
  <c r="I91" i="59" s="1"/>
  <c r="I90" i="59" s="1"/>
  <c r="I89" i="59" s="1"/>
  <c r="I88" i="59" s="1"/>
  <c r="I87" i="59" s="1"/>
  <c r="I86" i="59" s="1"/>
  <c r="I85" i="59" s="1"/>
  <c r="I84" i="59" s="1"/>
  <c r="I83" i="59" s="1"/>
  <c r="I82" i="59" s="1"/>
  <c r="I81" i="59" s="1"/>
  <c r="AP183" i="65"/>
  <c r="AO183" i="65"/>
  <c r="AM183" i="65"/>
  <c r="AD18" i="69"/>
  <c r="O13" i="69"/>
  <c r="O14" i="69"/>
  <c r="I80" i="69"/>
  <c r="O16" i="69"/>
  <c r="AC18" i="69"/>
  <c r="O12" i="69"/>
  <c r="O15" i="69"/>
  <c r="AH185" i="69"/>
  <c r="AI185" i="69"/>
  <c r="AY185" i="59"/>
  <c r="AX185" i="59"/>
  <c r="AX183" i="65"/>
  <c r="AZ183" i="65"/>
  <c r="BA183" i="65"/>
  <c r="AM165" i="65"/>
  <c r="AN165" i="65"/>
  <c r="B33" i="67"/>
  <c r="B31" i="67"/>
  <c r="B34" i="65"/>
  <c r="B32" i="65"/>
  <c r="H246" i="65" s="1"/>
  <c r="B32" i="67"/>
  <c r="H246" i="67" s="1"/>
  <c r="B34" i="67"/>
  <c r="AD143" i="68"/>
  <c r="AB143" i="68"/>
  <c r="AE143" i="68"/>
  <c r="AK143" i="67"/>
  <c r="AH143" i="67"/>
  <c r="AJ143" i="67"/>
  <c r="AH183" i="68"/>
  <c r="AK183" i="68"/>
  <c r="AJ183" i="68"/>
  <c r="N162" i="68"/>
  <c r="BA32" i="67"/>
  <c r="BD32" i="67" s="1"/>
  <c r="BD36" i="67" s="1"/>
  <c r="E20" i="67"/>
  <c r="M3" i="65"/>
  <c r="AV223" i="65"/>
  <c r="AS223" i="65"/>
  <c r="AU223" i="65"/>
  <c r="L178" i="67"/>
  <c r="K178" i="67"/>
  <c r="M121" i="65"/>
  <c r="M120" i="65" s="1"/>
  <c r="M119" i="65" s="1"/>
  <c r="M118" i="65" s="1"/>
  <c r="M117" i="65" s="1"/>
  <c r="M116" i="65" s="1"/>
  <c r="M115" i="65" s="1"/>
  <c r="M114" i="65" s="1"/>
  <c r="M113" i="65" s="1"/>
  <c r="M112" i="65" s="1"/>
  <c r="M111" i="65" s="1"/>
  <c r="M110" i="65" s="1"/>
  <c r="M109" i="65" s="1"/>
  <c r="M108" i="65" s="1"/>
  <c r="M107" i="65" s="1"/>
  <c r="M106" i="65" s="1"/>
  <c r="M105" i="65" s="1"/>
  <c r="M104" i="65" s="1"/>
  <c r="M103" i="65" s="1"/>
  <c r="M102" i="65" s="1"/>
  <c r="M101" i="65" s="1"/>
  <c r="M100" i="65" s="1"/>
  <c r="M99" i="65" s="1"/>
  <c r="M98" i="65" s="1"/>
  <c r="M97" i="65" s="1"/>
  <c r="M96" i="65" s="1"/>
  <c r="M95" i="65" s="1"/>
  <c r="M94" i="65" s="1"/>
  <c r="M93" i="65" s="1"/>
  <c r="M92" i="65" s="1"/>
  <c r="M91" i="65" s="1"/>
  <c r="M90" i="65" s="1"/>
  <c r="M89" i="65" s="1"/>
  <c r="M88" i="65" s="1"/>
  <c r="M87" i="65" s="1"/>
  <c r="M86" i="65" s="1"/>
  <c r="M85" i="65" s="1"/>
  <c r="M84" i="65" s="1"/>
  <c r="M83" i="65" s="1"/>
  <c r="M82" i="65" s="1"/>
  <c r="M81" i="65" s="1"/>
  <c r="AZ225" i="69"/>
  <c r="AZ224" i="69" s="1"/>
  <c r="BA225" i="69"/>
  <c r="BA224" i="69" s="1"/>
  <c r="AD165" i="68"/>
  <c r="AD164" i="68" s="1"/>
  <c r="AE165" i="68"/>
  <c r="AE164" i="68" s="1"/>
  <c r="BA165" i="67"/>
  <c r="BA164" i="67" s="1"/>
  <c r="AZ165" i="67"/>
  <c r="AZ164" i="67" s="1"/>
  <c r="B33" i="68"/>
  <c r="B31" i="68"/>
  <c r="AB223" i="67"/>
  <c r="AE223" i="67"/>
  <c r="AD223" i="67"/>
  <c r="AH223" i="65"/>
  <c r="AJ223" i="65"/>
  <c r="AK223" i="65"/>
  <c r="X205" i="67"/>
  <c r="W205" i="67"/>
  <c r="AN165" i="69"/>
  <c r="AM165" i="69"/>
  <c r="B31" i="65"/>
  <c r="B33" i="65"/>
  <c r="BA48" i="65"/>
  <c r="BD48" i="65" s="1"/>
  <c r="AV145" i="59"/>
  <c r="AV144" i="59" s="1"/>
  <c r="AU145" i="59"/>
  <c r="AU144" i="59" s="1"/>
  <c r="AV165" i="65"/>
  <c r="AV164" i="65" s="1"/>
  <c r="AU165" i="65"/>
  <c r="AU164" i="65" s="1"/>
  <c r="K121" i="59"/>
  <c r="K120" i="59"/>
  <c r="K119" i="59" s="1"/>
  <c r="K118" i="59" s="1"/>
  <c r="K117" i="59" s="1"/>
  <c r="K116" i="59" s="1"/>
  <c r="K115" i="59" s="1"/>
  <c r="K114" i="59" s="1"/>
  <c r="K113" i="59" s="1"/>
  <c r="K112" i="59" s="1"/>
  <c r="K111" i="59" s="1"/>
  <c r="K110" i="59" s="1"/>
  <c r="K109" i="59" s="1"/>
  <c r="K108" i="59" s="1"/>
  <c r="K107" i="59" s="1"/>
  <c r="K106" i="59" s="1"/>
  <c r="K105" i="59" s="1"/>
  <c r="K104" i="59" s="1"/>
  <c r="K103" i="59" s="1"/>
  <c r="K102" i="59" s="1"/>
  <c r="K101" i="59" s="1"/>
  <c r="K100" i="59" s="1"/>
  <c r="K99" i="59" s="1"/>
  <c r="K98" i="59" s="1"/>
  <c r="K97" i="59" s="1"/>
  <c r="K96" i="59" s="1"/>
  <c r="K95" i="59" s="1"/>
  <c r="K94" i="59" s="1"/>
  <c r="K93" i="59" s="1"/>
  <c r="K92" i="59" s="1"/>
  <c r="K91" i="59" s="1"/>
  <c r="K90" i="59" s="1"/>
  <c r="K89" i="59" s="1"/>
  <c r="K88" i="59" s="1"/>
  <c r="K87" i="59" s="1"/>
  <c r="K86" i="59" s="1"/>
  <c r="K85" i="59" s="1"/>
  <c r="K84" i="59" s="1"/>
  <c r="K83" i="59" s="1"/>
  <c r="K82" i="59" s="1"/>
  <c r="K81" i="59" s="1"/>
  <c r="AI205" i="69"/>
  <c r="AH205" i="69"/>
  <c r="AH225" i="59"/>
  <c r="AI225" i="59"/>
  <c r="AN205" i="59"/>
  <c r="AM205" i="59"/>
  <c r="L121" i="68"/>
  <c r="L120" i="68" s="1"/>
  <c r="L119" i="68" s="1"/>
  <c r="L118" i="68" s="1"/>
  <c r="L117" i="68" s="1"/>
  <c r="L116" i="68" s="1"/>
  <c r="L115" i="68" s="1"/>
  <c r="L114" i="68" s="1"/>
  <c r="L113" i="68" s="1"/>
  <c r="L112" i="68" s="1"/>
  <c r="L111" i="68" s="1"/>
  <c r="L110" i="68" s="1"/>
  <c r="L109" i="68" s="1"/>
  <c r="L108" i="68" s="1"/>
  <c r="L107" i="68" s="1"/>
  <c r="L106" i="68" s="1"/>
  <c r="L105" i="68" s="1"/>
  <c r="L104" i="68" s="1"/>
  <c r="L103" i="68" s="1"/>
  <c r="L102" i="68" s="1"/>
  <c r="L101" i="68" s="1"/>
  <c r="L100" i="68" s="1"/>
  <c r="L99" i="68" s="1"/>
  <c r="L98" i="68" s="1"/>
  <c r="L97" i="68" s="1"/>
  <c r="L96" i="68" s="1"/>
  <c r="L95" i="68" s="1"/>
  <c r="L94" i="68" s="1"/>
  <c r="L93" i="68" s="1"/>
  <c r="L92" i="68" s="1"/>
  <c r="L91" i="68" s="1"/>
  <c r="L90" i="68" s="1"/>
  <c r="L89" i="68" s="1"/>
  <c r="L88" i="68" s="1"/>
  <c r="L87" i="68" s="1"/>
  <c r="L86" i="68" s="1"/>
  <c r="L85" i="68" s="1"/>
  <c r="L84" i="68" s="1"/>
  <c r="L83" i="68" s="1"/>
  <c r="L82" i="68" s="1"/>
  <c r="L81" i="68" s="1"/>
  <c r="AE22" i="59"/>
  <c r="W15" i="59"/>
  <c r="W16" i="59"/>
  <c r="W13" i="59"/>
  <c r="W14" i="59"/>
  <c r="W12" i="59"/>
  <c r="M80" i="59"/>
  <c r="AC22" i="59"/>
  <c r="AD22" i="59"/>
  <c r="AX205" i="67"/>
  <c r="AY205" i="67"/>
  <c r="AT165" i="68"/>
  <c r="AS165" i="68"/>
  <c r="B34" i="69"/>
  <c r="B32" i="69"/>
  <c r="H246" i="69" s="1"/>
  <c r="AT204" i="65"/>
  <c r="AT203" i="65" s="1"/>
  <c r="AI203" i="65"/>
  <c r="AY164" i="59"/>
  <c r="AY163" i="59" s="1"/>
  <c r="AN163" i="59"/>
  <c r="AO223" i="68"/>
  <c r="AM223" i="68"/>
  <c r="AP223" i="68"/>
  <c r="C145" i="65"/>
  <c r="D145" i="65"/>
  <c r="M5" i="69"/>
  <c r="AE18" i="69" s="1"/>
  <c r="BA50" i="69"/>
  <c r="BD50" i="69" s="1"/>
  <c r="BD52" i="69" s="1"/>
  <c r="BA26" i="59"/>
  <c r="BE52" i="59"/>
  <c r="BE26" i="59" s="1"/>
  <c r="AU145" i="68"/>
  <c r="AU144" i="68" s="1"/>
  <c r="AV145" i="68"/>
  <c r="AV144" i="68" s="1"/>
  <c r="J121" i="69"/>
  <c r="J120" i="69"/>
  <c r="J119" i="69" s="1"/>
  <c r="J118" i="69" s="1"/>
  <c r="J117" i="69" s="1"/>
  <c r="J116" i="69" s="1"/>
  <c r="J115" i="69" s="1"/>
  <c r="J114" i="69" s="1"/>
  <c r="J113" i="69" s="1"/>
  <c r="J112" i="69" s="1"/>
  <c r="J111" i="69" s="1"/>
  <c r="J110" i="69" s="1"/>
  <c r="J109" i="69" s="1"/>
  <c r="J108" i="69" s="1"/>
  <c r="J107" i="69" s="1"/>
  <c r="J106" i="69" s="1"/>
  <c r="J105" i="69" s="1"/>
  <c r="J104" i="69" s="1"/>
  <c r="J103" i="69" s="1"/>
  <c r="J102" i="69" s="1"/>
  <c r="J101" i="69" s="1"/>
  <c r="J100" i="69" s="1"/>
  <c r="J99" i="69" s="1"/>
  <c r="J98" i="69" s="1"/>
  <c r="J97" i="69" s="1"/>
  <c r="J96" i="69" s="1"/>
  <c r="J95" i="69" s="1"/>
  <c r="J94" i="69" s="1"/>
  <c r="J93" i="69" s="1"/>
  <c r="J92" i="69" s="1"/>
  <c r="J91" i="69" s="1"/>
  <c r="J90" i="69" s="1"/>
  <c r="J89" i="69" s="1"/>
  <c r="J88" i="69" s="1"/>
  <c r="J87" i="69" s="1"/>
  <c r="J86" i="69" s="1"/>
  <c r="J85" i="69" s="1"/>
  <c r="J84" i="69" s="1"/>
  <c r="J83" i="69" s="1"/>
  <c r="J82" i="69" s="1"/>
  <c r="J81" i="69" s="1"/>
  <c r="AP225" i="59"/>
  <c r="AP224" i="59" s="1"/>
  <c r="AO225" i="59"/>
  <c r="AO224" i="59" s="1"/>
  <c r="BA16" i="67"/>
  <c r="BD16" i="67" s="1"/>
  <c r="AS163" i="67"/>
  <c r="AV163" i="67"/>
  <c r="AU163" i="67"/>
  <c r="AB165" i="59"/>
  <c r="AC165" i="59"/>
  <c r="P163" i="68"/>
  <c r="S161" i="68" s="1"/>
  <c r="Q163" i="68"/>
  <c r="U17" i="65"/>
  <c r="U18" i="65" s="1"/>
  <c r="E23" i="65" s="1"/>
  <c r="AC19" i="68"/>
  <c r="Q12" i="68"/>
  <c r="Q13" i="68"/>
  <c r="Q14" i="68"/>
  <c r="Q15" i="68"/>
  <c r="AD19" i="68"/>
  <c r="Q16" i="68"/>
  <c r="J80" i="68"/>
  <c r="AP183" i="69"/>
  <c r="AM183" i="69"/>
  <c r="AO183" i="69"/>
  <c r="AC185" i="59"/>
  <c r="AB185" i="59"/>
  <c r="AE145" i="67"/>
  <c r="AE144" i="67" s="1"/>
  <c r="AD145" i="67"/>
  <c r="AD144" i="67" s="1"/>
  <c r="S17" i="68"/>
  <c r="S18" i="68" s="1"/>
  <c r="E22" i="68" s="1"/>
  <c r="AP205" i="67"/>
  <c r="AP204" i="67" s="1"/>
  <c r="AO205" i="67"/>
  <c r="AO204" i="67" s="1"/>
  <c r="AE225" i="69"/>
  <c r="AE224" i="69" s="1"/>
  <c r="AD225" i="69"/>
  <c r="AD224" i="69" s="1"/>
  <c r="AI143" i="69"/>
  <c r="AT144" i="69"/>
  <c r="AT143" i="69" s="1"/>
  <c r="AN143" i="67"/>
  <c r="AY144" i="67"/>
  <c r="AY143" i="67" s="1"/>
  <c r="W143" i="67"/>
  <c r="Z143" i="67"/>
  <c r="Y143" i="67"/>
  <c r="AK163" i="67"/>
  <c r="AH163" i="67"/>
  <c r="AJ163" i="67"/>
  <c r="E212" i="68"/>
  <c r="D24" i="68" s="1"/>
  <c r="BA61" i="68" s="1"/>
  <c r="BD61" i="68" s="1"/>
  <c r="AZ225" i="67"/>
  <c r="AZ224" i="67" s="1"/>
  <c r="BA225" i="67"/>
  <c r="BA224" i="67" s="1"/>
  <c r="Y165" i="59"/>
  <c r="Y164" i="59" s="1"/>
  <c r="B21" i="59" s="1"/>
  <c r="B31" i="59" s="1"/>
  <c r="Z165" i="59"/>
  <c r="Z164" i="59" s="1"/>
  <c r="BA183" i="69"/>
  <c r="AZ183" i="69"/>
  <c r="AX183" i="69"/>
  <c r="Q163" i="59"/>
  <c r="P163" i="59"/>
  <c r="S161" i="59" s="1"/>
  <c r="AC21" i="67"/>
  <c r="U15" i="67"/>
  <c r="U14" i="67"/>
  <c r="AD21" i="67"/>
  <c r="L80" i="67"/>
  <c r="U16" i="67"/>
  <c r="U12" i="67"/>
  <c r="U13" i="67"/>
  <c r="BA61" i="67"/>
  <c r="BD61" i="67" s="1"/>
  <c r="Z165" i="65"/>
  <c r="Z164" i="65" s="1"/>
  <c r="Y165" i="65"/>
  <c r="Y164" i="65" s="1"/>
  <c r="AV225" i="68"/>
  <c r="AV224" i="68" s="1"/>
  <c r="AU225" i="68"/>
  <c r="AU224" i="68" s="1"/>
  <c r="AX185" i="67"/>
  <c r="AY185" i="67"/>
  <c r="Q13" i="65"/>
  <c r="AC19" i="65"/>
  <c r="Q15" i="65"/>
  <c r="J80" i="65"/>
  <c r="Q14" i="65"/>
  <c r="Q16" i="65"/>
  <c r="AD19" i="65"/>
  <c r="Q12" i="65"/>
  <c r="Y165" i="67"/>
  <c r="Y164" i="67" s="1"/>
  <c r="Z165" i="67"/>
  <c r="Z164" i="67" s="1"/>
  <c r="B33" i="69"/>
  <c r="B31" i="69"/>
  <c r="AO143" i="68"/>
  <c r="AM143" i="68"/>
  <c r="AP143" i="68"/>
  <c r="AX205" i="65"/>
  <c r="AY205" i="65"/>
  <c r="K121" i="68"/>
  <c r="K120" i="68" s="1"/>
  <c r="K119" i="68" s="1"/>
  <c r="K118" i="68" s="1"/>
  <c r="K117" i="68" s="1"/>
  <c r="K116" i="68" s="1"/>
  <c r="K115" i="68" s="1"/>
  <c r="K114" i="68" s="1"/>
  <c r="K113" i="68" s="1"/>
  <c r="K112" i="68" s="1"/>
  <c r="K111" i="68" s="1"/>
  <c r="K110" i="68" s="1"/>
  <c r="K109" i="68" s="1"/>
  <c r="K108" i="68" s="1"/>
  <c r="K107" i="68" s="1"/>
  <c r="K106" i="68" s="1"/>
  <c r="K105" i="68" s="1"/>
  <c r="K104" i="68" s="1"/>
  <c r="K103" i="68" s="1"/>
  <c r="K102" i="68" s="1"/>
  <c r="K101" i="68" s="1"/>
  <c r="K100" i="68" s="1"/>
  <c r="K99" i="68" s="1"/>
  <c r="K98" i="68" s="1"/>
  <c r="K97" i="68" s="1"/>
  <c r="K96" i="68" s="1"/>
  <c r="K95" i="68" s="1"/>
  <c r="K94" i="68" s="1"/>
  <c r="K93" i="68" s="1"/>
  <c r="K92" i="68" s="1"/>
  <c r="K91" i="68" s="1"/>
  <c r="K90" i="68" s="1"/>
  <c r="K89" i="68" s="1"/>
  <c r="K88" i="68" s="1"/>
  <c r="K87" i="68" s="1"/>
  <c r="K86" i="68" s="1"/>
  <c r="K85" i="68" s="1"/>
  <c r="K84" i="68" s="1"/>
  <c r="K83" i="68" s="1"/>
  <c r="K82" i="68" s="1"/>
  <c r="K81" i="68" s="1"/>
  <c r="BC25" i="69"/>
  <c r="BD25" i="69" s="1"/>
  <c r="BC26" i="69"/>
  <c r="BC24" i="69"/>
  <c r="BD7" i="68"/>
  <c r="BA16" i="68"/>
  <c r="BD16" i="68" s="1"/>
  <c r="BA60" i="68"/>
  <c r="BD60" i="68" s="1"/>
  <c r="BA60" i="69"/>
  <c r="BD60" i="69" s="1"/>
  <c r="BA60" i="59"/>
  <c r="BD60" i="59" s="1"/>
  <c r="BA60" i="67"/>
  <c r="BD60" i="67" s="1"/>
  <c r="BA60" i="65"/>
  <c r="BD60" i="65" s="1"/>
  <c r="C162" i="59"/>
  <c r="D162" i="59"/>
  <c r="K145" i="68"/>
  <c r="L145" i="68"/>
  <c r="W205" i="65"/>
  <c r="X205" i="65"/>
  <c r="AV185" i="59"/>
  <c r="AV184" i="59" s="1"/>
  <c r="AU185" i="59"/>
  <c r="AU184" i="59" s="1"/>
  <c r="N163" i="65"/>
  <c r="N162" i="65" s="1"/>
  <c r="BA40" i="65" s="1"/>
  <c r="BD40" i="65" s="1"/>
  <c r="M163" i="65"/>
  <c r="M162" i="65" s="1"/>
  <c r="J4" i="65" s="1"/>
  <c r="AX143" i="68"/>
  <c r="BA143" i="68"/>
  <c r="AZ143" i="68"/>
  <c r="W17" i="65"/>
  <c r="W18" i="65" s="1"/>
  <c r="E24" i="65" s="1"/>
  <c r="AF18" i="59"/>
  <c r="BA50" i="65" l="1"/>
  <c r="BD50" i="65" s="1"/>
  <c r="U17" i="67"/>
  <c r="U18" i="67" s="1"/>
  <c r="E23" i="67" s="1"/>
  <c r="AF19" i="65"/>
  <c r="BD7" i="59"/>
  <c r="BD36" i="59"/>
  <c r="BE36" i="59" s="1"/>
  <c r="BE24" i="59" s="1"/>
  <c r="BD52" i="65"/>
  <c r="BA26" i="65" s="1"/>
  <c r="BD26" i="65" s="1"/>
  <c r="AF21" i="59"/>
  <c r="B35" i="68"/>
  <c r="O9" i="68" s="1"/>
  <c r="B33" i="59"/>
  <c r="AZ185" i="67"/>
  <c r="AZ184" i="67" s="1"/>
  <c r="BA185" i="67"/>
  <c r="BA184" i="67" s="1"/>
  <c r="C246" i="59"/>
  <c r="AX163" i="59"/>
  <c r="BA163" i="59"/>
  <c r="AZ163" i="59"/>
  <c r="AE19" i="69"/>
  <c r="AF19" i="69" s="1"/>
  <c r="AE22" i="69"/>
  <c r="AF22" i="69" s="1"/>
  <c r="AO14" i="69"/>
  <c r="J2" i="69" s="1"/>
  <c r="AE21" i="69"/>
  <c r="AF21" i="69" s="1"/>
  <c r="AS203" i="65"/>
  <c r="AV203" i="65"/>
  <c r="AU203" i="65"/>
  <c r="M121" i="59"/>
  <c r="M120" i="59" s="1"/>
  <c r="M119" i="59" s="1"/>
  <c r="M118" i="59" s="1"/>
  <c r="M117" i="59" s="1"/>
  <c r="M116" i="59" s="1"/>
  <c r="M115" i="59" s="1"/>
  <c r="M114" i="59" s="1"/>
  <c r="M113" i="59" s="1"/>
  <c r="M112" i="59" s="1"/>
  <c r="M111" i="59" s="1"/>
  <c r="M110" i="59" s="1"/>
  <c r="M109" i="59" s="1"/>
  <c r="M108" i="59" s="1"/>
  <c r="M107" i="59" s="1"/>
  <c r="M106" i="59" s="1"/>
  <c r="M105" i="59" s="1"/>
  <c r="M104" i="59" s="1"/>
  <c r="M103" i="59" s="1"/>
  <c r="M102" i="59" s="1"/>
  <c r="M101" i="59" s="1"/>
  <c r="M100" i="59" s="1"/>
  <c r="M99" i="59" s="1"/>
  <c r="M98" i="59" s="1"/>
  <c r="M97" i="59" s="1"/>
  <c r="M96" i="59" s="1"/>
  <c r="M95" i="59" s="1"/>
  <c r="M94" i="59" s="1"/>
  <c r="M93" i="59" s="1"/>
  <c r="M92" i="59" s="1"/>
  <c r="M91" i="59" s="1"/>
  <c r="M90" i="59" s="1"/>
  <c r="M89" i="59" s="1"/>
  <c r="M88" i="59" s="1"/>
  <c r="M87" i="59" s="1"/>
  <c r="M86" i="59" s="1"/>
  <c r="M85" i="59" s="1"/>
  <c r="M84" i="59" s="1"/>
  <c r="M83" i="59" s="1"/>
  <c r="M82" i="59" s="1"/>
  <c r="M81" i="59" s="1"/>
  <c r="AB225" i="67"/>
  <c r="AC225" i="67"/>
  <c r="AE21" i="65"/>
  <c r="AF21" i="65" s="1"/>
  <c r="AE22" i="65"/>
  <c r="AF22" i="65" s="1"/>
  <c r="AE20" i="65"/>
  <c r="AF20" i="65" s="1"/>
  <c r="AT225" i="65"/>
  <c r="AS225" i="65"/>
  <c r="S246" i="67"/>
  <c r="H245" i="67"/>
  <c r="O17" i="69"/>
  <c r="O18" i="69" s="1"/>
  <c r="F162" i="59"/>
  <c r="F161" i="59" s="1"/>
  <c r="E162" i="59"/>
  <c r="E161" i="59" s="1"/>
  <c r="D21" i="59" s="1"/>
  <c r="BD63" i="68"/>
  <c r="M80" i="68"/>
  <c r="W15" i="68"/>
  <c r="W16" i="68"/>
  <c r="AC22" i="68"/>
  <c r="AD22" i="68"/>
  <c r="W13" i="68"/>
  <c r="W14" i="68"/>
  <c r="W12" i="68"/>
  <c r="AE185" i="59"/>
  <c r="AE184" i="59" s="1"/>
  <c r="AD185" i="59"/>
  <c r="AD184" i="59" s="1"/>
  <c r="C22" i="59" s="1"/>
  <c r="AT165" i="67"/>
  <c r="AS165" i="67"/>
  <c r="F145" i="65"/>
  <c r="F144" i="65" s="1"/>
  <c r="E145" i="65"/>
  <c r="E144" i="65" s="1"/>
  <c r="D20" i="65" s="1"/>
  <c r="S246" i="69"/>
  <c r="H245" i="69"/>
  <c r="W17" i="59"/>
  <c r="W18" i="59" s="1"/>
  <c r="E24" i="59" s="1"/>
  <c r="C246" i="65"/>
  <c r="S246" i="65"/>
  <c r="H245" i="65"/>
  <c r="AF18" i="69"/>
  <c r="F179" i="69"/>
  <c r="F178" i="69" s="1"/>
  <c r="E179" i="69"/>
  <c r="E178" i="69" s="1"/>
  <c r="D22" i="69" s="1"/>
  <c r="G27" i="66"/>
  <c r="BE52" i="69"/>
  <c r="BE26" i="69" s="1"/>
  <c r="BA26" i="69"/>
  <c r="BD26" i="69" s="1"/>
  <c r="AM145" i="68"/>
  <c r="AN145" i="68"/>
  <c r="AS143" i="69"/>
  <c r="AV143" i="69"/>
  <c r="AU143" i="69"/>
  <c r="C246" i="68"/>
  <c r="BA24" i="69"/>
  <c r="BD24" i="69" s="1"/>
  <c r="BE36" i="69"/>
  <c r="BE24" i="69" s="1"/>
  <c r="Z205" i="65"/>
  <c r="Z204" i="65" s="1"/>
  <c r="Y205" i="65"/>
  <c r="Y204" i="65" s="1"/>
  <c r="J121" i="65"/>
  <c r="J120" i="65"/>
  <c r="J119" i="65" s="1"/>
  <c r="J118" i="65" s="1"/>
  <c r="J117" i="65" s="1"/>
  <c r="J116" i="65" s="1"/>
  <c r="J115" i="65" s="1"/>
  <c r="J114" i="65" s="1"/>
  <c r="J113" i="65" s="1"/>
  <c r="J112" i="65" s="1"/>
  <c r="J111" i="65" s="1"/>
  <c r="J110" i="65" s="1"/>
  <c r="J109" i="65" s="1"/>
  <c r="J108" i="65" s="1"/>
  <c r="J107" i="65" s="1"/>
  <c r="J106" i="65" s="1"/>
  <c r="J105" i="65" s="1"/>
  <c r="J104" i="65" s="1"/>
  <c r="J103" i="65" s="1"/>
  <c r="J102" i="65" s="1"/>
  <c r="J101" i="65" s="1"/>
  <c r="J100" i="65" s="1"/>
  <c r="J99" i="65" s="1"/>
  <c r="J98" i="65" s="1"/>
  <c r="J97" i="65" s="1"/>
  <c r="J96" i="65" s="1"/>
  <c r="J95" i="65" s="1"/>
  <c r="J94" i="65" s="1"/>
  <c r="J93" i="65" s="1"/>
  <c r="J92" i="65" s="1"/>
  <c r="J91" i="65" s="1"/>
  <c r="J90" i="65" s="1"/>
  <c r="J89" i="65" s="1"/>
  <c r="J88" i="65" s="1"/>
  <c r="J87" i="65" s="1"/>
  <c r="J86" i="65" s="1"/>
  <c r="J85" i="65" s="1"/>
  <c r="J84" i="65" s="1"/>
  <c r="J83" i="65" s="1"/>
  <c r="J82" i="65" s="1"/>
  <c r="J81" i="65" s="1"/>
  <c r="S163" i="59"/>
  <c r="S162" i="59" s="1"/>
  <c r="BA40" i="59" s="1"/>
  <c r="BD40" i="59" s="1"/>
  <c r="R163" i="59"/>
  <c r="R162" i="59" s="1"/>
  <c r="K4" i="59" s="1"/>
  <c r="AN185" i="69"/>
  <c r="AM185" i="69"/>
  <c r="AP205" i="59"/>
  <c r="AP204" i="59" s="1"/>
  <c r="AO205" i="59"/>
  <c r="AO204" i="59" s="1"/>
  <c r="AY185" i="65"/>
  <c r="AX185" i="65"/>
  <c r="I121" i="69"/>
  <c r="I120" i="69" s="1"/>
  <c r="I119" i="69" s="1"/>
  <c r="I118" i="69" s="1"/>
  <c r="I117" i="69" s="1"/>
  <c r="I116" i="69" s="1"/>
  <c r="I115" i="69" s="1"/>
  <c r="I114" i="69" s="1"/>
  <c r="I113" i="69" s="1"/>
  <c r="I112" i="69" s="1"/>
  <c r="I111" i="69" s="1"/>
  <c r="I110" i="69" s="1"/>
  <c r="I109" i="69" s="1"/>
  <c r="I108" i="69" s="1"/>
  <c r="I107" i="69" s="1"/>
  <c r="I106" i="69" s="1"/>
  <c r="I105" i="69" s="1"/>
  <c r="I104" i="69" s="1"/>
  <c r="I103" i="69" s="1"/>
  <c r="I102" i="69" s="1"/>
  <c r="I101" i="69" s="1"/>
  <c r="I100" i="69" s="1"/>
  <c r="I99" i="69" s="1"/>
  <c r="I98" i="69" s="1"/>
  <c r="I97" i="69" s="1"/>
  <c r="I96" i="69" s="1"/>
  <c r="I95" i="69" s="1"/>
  <c r="I94" i="69" s="1"/>
  <c r="I93" i="69" s="1"/>
  <c r="I92" i="69" s="1"/>
  <c r="I91" i="69" s="1"/>
  <c r="I90" i="69" s="1"/>
  <c r="I89" i="69" s="1"/>
  <c r="I88" i="69" s="1"/>
  <c r="I87" i="69" s="1"/>
  <c r="I86" i="69" s="1"/>
  <c r="I85" i="69" s="1"/>
  <c r="I84" i="69" s="1"/>
  <c r="I83" i="69" s="1"/>
  <c r="I82" i="69" s="1"/>
  <c r="I81" i="69" s="1"/>
  <c r="AH143" i="69"/>
  <c r="AK143" i="69"/>
  <c r="AJ143" i="69"/>
  <c r="AY185" i="69"/>
  <c r="AX185" i="69"/>
  <c r="AI165" i="67"/>
  <c r="AH165" i="67"/>
  <c r="Q17" i="68"/>
  <c r="Q18" i="68" s="1"/>
  <c r="AM225" i="68"/>
  <c r="AN225" i="68"/>
  <c r="AJ225" i="59"/>
  <c r="AJ224" i="59" s="1"/>
  <c r="AK225" i="59"/>
  <c r="AK224" i="59" s="1"/>
  <c r="AP165" i="69"/>
  <c r="AP164" i="69" s="1"/>
  <c r="AO165" i="69"/>
  <c r="AO164" i="69" s="1"/>
  <c r="AH185" i="68"/>
  <c r="AI185" i="68"/>
  <c r="BA24" i="65"/>
  <c r="BE36" i="65"/>
  <c r="BE24" i="65" s="1"/>
  <c r="C246" i="69"/>
  <c r="W16" i="67"/>
  <c r="AC22" i="67"/>
  <c r="W15" i="67"/>
  <c r="AD22" i="67"/>
  <c r="W14" i="67"/>
  <c r="W12" i="67"/>
  <c r="W13" i="67"/>
  <c r="M80" i="67"/>
  <c r="L121" i="59"/>
  <c r="L120" i="59"/>
  <c r="L119" i="59" s="1"/>
  <c r="L118" i="59" s="1"/>
  <c r="L117" i="59" s="1"/>
  <c r="L116" i="59" s="1"/>
  <c r="L115" i="59" s="1"/>
  <c r="L114" i="59" s="1"/>
  <c r="L113" i="59" s="1"/>
  <c r="L112" i="59" s="1"/>
  <c r="L111" i="59" s="1"/>
  <c r="L110" i="59" s="1"/>
  <c r="L109" i="59" s="1"/>
  <c r="L108" i="59" s="1"/>
  <c r="L107" i="59" s="1"/>
  <c r="L106" i="59" s="1"/>
  <c r="L105" i="59" s="1"/>
  <c r="L104" i="59" s="1"/>
  <c r="L103" i="59" s="1"/>
  <c r="L102" i="59" s="1"/>
  <c r="L101" i="59" s="1"/>
  <c r="L100" i="59" s="1"/>
  <c r="L99" i="59" s="1"/>
  <c r="L98" i="59" s="1"/>
  <c r="L97" i="59" s="1"/>
  <c r="L96" i="59" s="1"/>
  <c r="L95" i="59" s="1"/>
  <c r="L94" i="59" s="1"/>
  <c r="L93" i="59" s="1"/>
  <c r="L92" i="59" s="1"/>
  <c r="L91" i="59" s="1"/>
  <c r="L90" i="59" s="1"/>
  <c r="L89" i="59" s="1"/>
  <c r="L88" i="59" s="1"/>
  <c r="L87" i="59" s="1"/>
  <c r="L86" i="59" s="1"/>
  <c r="L85" i="59" s="1"/>
  <c r="L84" i="59" s="1"/>
  <c r="L83" i="59" s="1"/>
  <c r="L82" i="59" s="1"/>
  <c r="L81" i="59" s="1"/>
  <c r="N145" i="68"/>
  <c r="N144" i="68" s="1"/>
  <c r="M145" i="68"/>
  <c r="M144" i="68" s="1"/>
  <c r="J3" i="68" s="1"/>
  <c r="B35" i="67"/>
  <c r="O9" i="67" s="1"/>
  <c r="AM163" i="59"/>
  <c r="AP163" i="59"/>
  <c r="AO163" i="59"/>
  <c r="AV165" i="68"/>
  <c r="AV164" i="68" s="1"/>
  <c r="AU165" i="68"/>
  <c r="AU164" i="68" s="1"/>
  <c r="Z205" i="67"/>
  <c r="Z204" i="67" s="1"/>
  <c r="Y205" i="67"/>
  <c r="Y204" i="67" s="1"/>
  <c r="BC26" i="65"/>
  <c r="BC25" i="65"/>
  <c r="AH145" i="67"/>
  <c r="AI145" i="67"/>
  <c r="BA185" i="59"/>
  <c r="BA184" i="59" s="1"/>
  <c r="AZ185" i="59"/>
  <c r="AZ184" i="59" s="1"/>
  <c r="AS185" i="68"/>
  <c r="AT185" i="68"/>
  <c r="AK185" i="69"/>
  <c r="AK184" i="69" s="1"/>
  <c r="AJ185" i="69"/>
  <c r="AJ184" i="69" s="1"/>
  <c r="BA205" i="68"/>
  <c r="BA204" i="68" s="1"/>
  <c r="AZ205" i="68"/>
  <c r="AZ204" i="68" s="1"/>
  <c r="N178" i="68"/>
  <c r="N177" i="68" s="1"/>
  <c r="BA48" i="68" s="1"/>
  <c r="BD48" i="68" s="1"/>
  <c r="M178" i="68"/>
  <c r="M177" i="68" s="1"/>
  <c r="J5" i="68" s="1"/>
  <c r="R163" i="68"/>
  <c r="R162" i="68" s="1"/>
  <c r="K4" i="68" s="1"/>
  <c r="S163" i="68"/>
  <c r="S162" i="68" s="1"/>
  <c r="BA40" i="68" s="1"/>
  <c r="BD40" i="68" s="1"/>
  <c r="M178" i="67"/>
  <c r="M177" i="67" s="1"/>
  <c r="J5" i="67" s="1"/>
  <c r="N178" i="67"/>
  <c r="N177" i="67" s="1"/>
  <c r="BA48" i="67" s="1"/>
  <c r="BD48" i="67" s="1"/>
  <c r="BA42" i="65"/>
  <c r="BD42" i="65" s="1"/>
  <c r="BD44" i="65" s="1"/>
  <c r="M4" i="65"/>
  <c r="BC24" i="65" s="1"/>
  <c r="L121" i="67"/>
  <c r="L120" i="67" s="1"/>
  <c r="L119" i="67" s="1"/>
  <c r="L118" i="67" s="1"/>
  <c r="L117" i="67" s="1"/>
  <c r="L116" i="67" s="1"/>
  <c r="L115" i="67" s="1"/>
  <c r="L114" i="67" s="1"/>
  <c r="L113" i="67" s="1"/>
  <c r="L112" i="67" s="1"/>
  <c r="L111" i="67" s="1"/>
  <c r="L110" i="67" s="1"/>
  <c r="L109" i="67" s="1"/>
  <c r="L108" i="67" s="1"/>
  <c r="L107" i="67" s="1"/>
  <c r="L106" i="67" s="1"/>
  <c r="L105" i="67" s="1"/>
  <c r="L104" i="67" s="1"/>
  <c r="L103" i="67" s="1"/>
  <c r="L102" i="67" s="1"/>
  <c r="L101" i="67" s="1"/>
  <c r="L100" i="67" s="1"/>
  <c r="L99" i="67" s="1"/>
  <c r="L98" i="67" s="1"/>
  <c r="L97" i="67" s="1"/>
  <c r="L96" i="67" s="1"/>
  <c r="L95" i="67" s="1"/>
  <c r="L94" i="67" s="1"/>
  <c r="L93" i="67" s="1"/>
  <c r="L92" i="67" s="1"/>
  <c r="L91" i="67" s="1"/>
  <c r="L90" i="67" s="1"/>
  <c r="L89" i="67" s="1"/>
  <c r="L88" i="67" s="1"/>
  <c r="L87" i="67" s="1"/>
  <c r="L86" i="67" s="1"/>
  <c r="L85" i="67" s="1"/>
  <c r="L84" i="67" s="1"/>
  <c r="L83" i="67" s="1"/>
  <c r="L82" i="67" s="1"/>
  <c r="L81" i="67" s="1"/>
  <c r="BA143" i="67"/>
  <c r="AZ143" i="67"/>
  <c r="AX143" i="67"/>
  <c r="AD165" i="59"/>
  <c r="AD164" i="59" s="1"/>
  <c r="C21" i="59" s="1"/>
  <c r="AE165" i="59"/>
  <c r="AE164" i="59" s="1"/>
  <c r="AH225" i="65"/>
  <c r="AI225" i="65"/>
  <c r="BA24" i="67"/>
  <c r="BE36" i="67"/>
  <c r="BE24" i="67" s="1"/>
  <c r="AC145" i="68"/>
  <c r="AB145" i="68"/>
  <c r="BA205" i="67"/>
  <c r="BA204" i="67" s="1"/>
  <c r="AZ205" i="67"/>
  <c r="AZ204" i="67" s="1"/>
  <c r="AK205" i="69"/>
  <c r="AK204" i="69" s="1"/>
  <c r="AJ205" i="69"/>
  <c r="AJ204" i="69" s="1"/>
  <c r="AX145" i="68"/>
  <c r="AY145" i="68"/>
  <c r="W145" i="67"/>
  <c r="X145" i="67"/>
  <c r="BD63" i="67"/>
  <c r="AP143" i="67"/>
  <c r="AO143" i="67"/>
  <c r="AM143" i="67"/>
  <c r="J121" i="68"/>
  <c r="J120" i="68" s="1"/>
  <c r="J119" i="68" s="1"/>
  <c r="J118" i="68" s="1"/>
  <c r="J117" i="68" s="1"/>
  <c r="J116" i="68" s="1"/>
  <c r="J115" i="68" s="1"/>
  <c r="J114" i="68" s="1"/>
  <c r="J113" i="68" s="1"/>
  <c r="J112" i="68" s="1"/>
  <c r="J111" i="68" s="1"/>
  <c r="J110" i="68" s="1"/>
  <c r="J109" i="68" s="1"/>
  <c r="J108" i="68" s="1"/>
  <c r="J107" i="68" s="1"/>
  <c r="J106" i="68" s="1"/>
  <c r="J105" i="68" s="1"/>
  <c r="J104" i="68" s="1"/>
  <c r="J103" i="68" s="1"/>
  <c r="J102" i="68" s="1"/>
  <c r="J101" i="68" s="1"/>
  <c r="J100" i="68" s="1"/>
  <c r="J99" i="68" s="1"/>
  <c r="J98" i="68" s="1"/>
  <c r="J97" i="68" s="1"/>
  <c r="J96" i="68" s="1"/>
  <c r="J95" i="68" s="1"/>
  <c r="J94" i="68" s="1"/>
  <c r="J93" i="68" s="1"/>
  <c r="J92" i="68" s="1"/>
  <c r="J91" i="68" s="1"/>
  <c r="J90" i="68" s="1"/>
  <c r="J89" i="68" s="1"/>
  <c r="J88" i="68" s="1"/>
  <c r="J87" i="68" s="1"/>
  <c r="J86" i="68" s="1"/>
  <c r="J85" i="68" s="1"/>
  <c r="J84" i="68" s="1"/>
  <c r="J83" i="68" s="1"/>
  <c r="J82" i="68" s="1"/>
  <c r="J81" i="68" s="1"/>
  <c r="D38" i="71"/>
  <c r="BC26" i="59"/>
  <c r="BD26" i="59" s="1"/>
  <c r="D37" i="72"/>
  <c r="BC25" i="59"/>
  <c r="AS145" i="67"/>
  <c r="AT145" i="67"/>
  <c r="H245" i="68"/>
  <c r="S246" i="68"/>
  <c r="U17" i="59"/>
  <c r="U18" i="59" s="1"/>
  <c r="E23" i="59" s="1"/>
  <c r="C246" i="67"/>
  <c r="AM185" i="65"/>
  <c r="AN185" i="65"/>
  <c r="BA205" i="65"/>
  <c r="BA204" i="65" s="1"/>
  <c r="AZ205" i="65"/>
  <c r="AZ204" i="65" s="1"/>
  <c r="Q17" i="65"/>
  <c r="Q18" i="65" s="1"/>
  <c r="E21" i="65" s="1"/>
  <c r="AH203" i="65"/>
  <c r="AJ203" i="65"/>
  <c r="AK203" i="65"/>
  <c r="AF22" i="59"/>
  <c r="AP165" i="65"/>
  <c r="AP164" i="65" s="1"/>
  <c r="AO165" i="65"/>
  <c r="AO164" i="65" s="1"/>
  <c r="AE205" i="69"/>
  <c r="AE204" i="69" s="1"/>
  <c r="AD205" i="69"/>
  <c r="AD204" i="69" s="1"/>
  <c r="BE52" i="65" l="1"/>
  <c r="BE26" i="65" s="1"/>
  <c r="BA24" i="59"/>
  <c r="W17" i="67"/>
  <c r="W18" i="67" s="1"/>
  <c r="E24" i="67" s="1"/>
  <c r="AO14" i="65"/>
  <c r="J2" i="65" s="1"/>
  <c r="F24" i="65" s="1"/>
  <c r="BE44" i="65"/>
  <c r="BE25" i="65" s="1"/>
  <c r="BA25" i="65"/>
  <c r="BD25" i="65" s="1"/>
  <c r="AN145" i="67"/>
  <c r="AM145" i="67"/>
  <c r="AO145" i="68"/>
  <c r="AO144" i="68" s="1"/>
  <c r="AP145" i="68"/>
  <c r="AP144" i="68" s="1"/>
  <c r="W17" i="68"/>
  <c r="W18" i="68" s="1"/>
  <c r="E24" i="68" s="1"/>
  <c r="BA27" i="65"/>
  <c r="BD27" i="65" s="1"/>
  <c r="F23" i="65"/>
  <c r="AH205" i="65"/>
  <c r="AI205" i="65"/>
  <c r="B34" i="59"/>
  <c r="B32" i="59"/>
  <c r="AV185" i="68"/>
  <c r="AV184" i="68" s="1"/>
  <c r="AU185" i="68"/>
  <c r="AU184" i="68" s="1"/>
  <c r="M121" i="67"/>
  <c r="M120" i="67"/>
  <c r="M119" i="67"/>
  <c r="M118" i="67" s="1"/>
  <c r="M117" i="67" s="1"/>
  <c r="M116" i="67" s="1"/>
  <c r="M115" i="67" s="1"/>
  <c r="M114" i="67" s="1"/>
  <c r="M113" i="67" s="1"/>
  <c r="M112" i="67" s="1"/>
  <c r="M111" i="67" s="1"/>
  <c r="M110" i="67" s="1"/>
  <c r="M109" i="67" s="1"/>
  <c r="M108" i="67" s="1"/>
  <c r="M107" i="67" s="1"/>
  <c r="M106" i="67" s="1"/>
  <c r="M105" i="67" s="1"/>
  <c r="M104" i="67" s="1"/>
  <c r="M103" i="67" s="1"/>
  <c r="M102" i="67" s="1"/>
  <c r="M101" i="67" s="1"/>
  <c r="M100" i="67" s="1"/>
  <c r="M99" i="67" s="1"/>
  <c r="M98" i="67" s="1"/>
  <c r="M97" i="67" s="1"/>
  <c r="M96" i="67" s="1"/>
  <c r="M95" i="67" s="1"/>
  <c r="M94" i="67" s="1"/>
  <c r="M93" i="67" s="1"/>
  <c r="M92" i="67" s="1"/>
  <c r="M91" i="67" s="1"/>
  <c r="M90" i="67" s="1"/>
  <c r="M89" i="67" s="1"/>
  <c r="M88" i="67" s="1"/>
  <c r="M87" i="67" s="1"/>
  <c r="M86" i="67" s="1"/>
  <c r="M85" i="67" s="1"/>
  <c r="M84" i="67" s="1"/>
  <c r="M83" i="67" s="1"/>
  <c r="M82" i="67" s="1"/>
  <c r="M81" i="67" s="1"/>
  <c r="AO185" i="69"/>
  <c r="AO184" i="69" s="1"/>
  <c r="AP185" i="69"/>
  <c r="AP184" i="69" s="1"/>
  <c r="AS205" i="65"/>
  <c r="AT205" i="65"/>
  <c r="N246" i="59"/>
  <c r="C245" i="59"/>
  <c r="AX145" i="67"/>
  <c r="AY145" i="67"/>
  <c r="C245" i="69"/>
  <c r="N246" i="69"/>
  <c r="AH145" i="69"/>
  <c r="AI145" i="69"/>
  <c r="BA42" i="59"/>
  <c r="BD42" i="59" s="1"/>
  <c r="BD44" i="59" s="1"/>
  <c r="M4" i="59"/>
  <c r="N246" i="65"/>
  <c r="C245" i="65"/>
  <c r="AC19" i="59"/>
  <c r="Q13" i="59"/>
  <c r="Q16" i="59"/>
  <c r="Q15" i="59"/>
  <c r="AD19" i="59"/>
  <c r="J80" i="59"/>
  <c r="Q14" i="59"/>
  <c r="AE19" i="59"/>
  <c r="Q12" i="59"/>
  <c r="B35" i="59"/>
  <c r="O9" i="59" s="1"/>
  <c r="BA61" i="59"/>
  <c r="BD61" i="59" s="1"/>
  <c r="BD63" i="59" s="1"/>
  <c r="AN165" i="59"/>
  <c r="AM165" i="59"/>
  <c r="G31" i="66"/>
  <c r="BA27" i="69"/>
  <c r="BD27" i="69" s="1"/>
  <c r="BD28" i="69" s="1"/>
  <c r="N68" i="66"/>
  <c r="F21" i="69"/>
  <c r="F23" i="69"/>
  <c r="F24" i="69"/>
  <c r="BE63" i="67"/>
  <c r="L35" i="67"/>
  <c r="BA50" i="67"/>
  <c r="BD50" i="67" s="1"/>
  <c r="BD52" i="67" s="1"/>
  <c r="M5" i="67"/>
  <c r="AP225" i="68"/>
  <c r="AP224" i="68" s="1"/>
  <c r="AO225" i="68"/>
  <c r="AO224" i="68" s="1"/>
  <c r="S14" i="69"/>
  <c r="S15" i="69"/>
  <c r="K80" i="69"/>
  <c r="AC20" i="69"/>
  <c r="S13" i="69"/>
  <c r="AE20" i="69"/>
  <c r="AD20" i="69"/>
  <c r="S12" i="69"/>
  <c r="S16" i="69"/>
  <c r="BA61" i="69"/>
  <c r="BD61" i="69" s="1"/>
  <c r="BD63" i="69" s="1"/>
  <c r="B35" i="69"/>
  <c r="G245" i="69"/>
  <c r="J245" i="69"/>
  <c r="I245" i="69"/>
  <c r="AE225" i="67"/>
  <c r="AE224" i="67" s="1"/>
  <c r="AD225" i="67"/>
  <c r="AD224" i="67" s="1"/>
  <c r="Z145" i="67"/>
  <c r="Z144" i="67" s="1"/>
  <c r="Y145" i="67"/>
  <c r="Y144" i="67" s="1"/>
  <c r="AK145" i="67"/>
  <c r="AK144" i="67" s="1"/>
  <c r="AJ145" i="67"/>
  <c r="AJ144" i="67" s="1"/>
  <c r="S245" i="69"/>
  <c r="AD246" i="69"/>
  <c r="AD245" i="69" s="1"/>
  <c r="AP185" i="65"/>
  <c r="AP184" i="65" s="1"/>
  <c r="AO185" i="65"/>
  <c r="AO184" i="65" s="1"/>
  <c r="BA42" i="68"/>
  <c r="BD42" i="68" s="1"/>
  <c r="BD44" i="68" s="1"/>
  <c r="M4" i="68"/>
  <c r="M3" i="68"/>
  <c r="BA34" i="68"/>
  <c r="BD34" i="68" s="1"/>
  <c r="BD36" i="68" s="1"/>
  <c r="BD24" i="65"/>
  <c r="E21" i="68"/>
  <c r="AC18" i="65"/>
  <c r="AD18" i="65"/>
  <c r="O14" i="65"/>
  <c r="O13" i="65"/>
  <c r="I80" i="65"/>
  <c r="O12" i="65"/>
  <c r="BA61" i="65"/>
  <c r="BD61" i="65" s="1"/>
  <c r="BD63" i="65" s="1"/>
  <c r="O15" i="65"/>
  <c r="O16" i="65"/>
  <c r="AE18" i="65"/>
  <c r="B35" i="65"/>
  <c r="G30" i="66"/>
  <c r="AZ145" i="68"/>
  <c r="AZ144" i="68" s="1"/>
  <c r="BA145" i="68"/>
  <c r="BA144" i="68" s="1"/>
  <c r="AE145" i="68"/>
  <c r="AE144" i="68" s="1"/>
  <c r="AD145" i="68"/>
  <c r="AD144" i="68" s="1"/>
  <c r="M5" i="68"/>
  <c r="BA50" i="68"/>
  <c r="BD50" i="68" s="1"/>
  <c r="BD52" i="68" s="1"/>
  <c r="C245" i="68"/>
  <c r="N246" i="68"/>
  <c r="I245" i="65"/>
  <c r="G245" i="65"/>
  <c r="J245" i="65"/>
  <c r="E20" i="69"/>
  <c r="N246" i="67"/>
  <c r="C245" i="67"/>
  <c r="S245" i="68"/>
  <c r="AD246" i="68"/>
  <c r="AD245" i="68" s="1"/>
  <c r="AK165" i="67"/>
  <c r="AK164" i="67" s="1"/>
  <c r="AJ165" i="67"/>
  <c r="AJ164" i="67" s="1"/>
  <c r="S245" i="65"/>
  <c r="AD246" i="65"/>
  <c r="AD245" i="65" s="1"/>
  <c r="M121" i="68"/>
  <c r="M120" i="68" s="1"/>
  <c r="M119" i="68" s="1"/>
  <c r="M118" i="68" s="1"/>
  <c r="M117" i="68" s="1"/>
  <c r="M116" i="68" s="1"/>
  <c r="M115" i="68" s="1"/>
  <c r="M114" i="68" s="1"/>
  <c r="M113" i="68" s="1"/>
  <c r="M112" i="68" s="1"/>
  <c r="M111" i="68" s="1"/>
  <c r="M110" i="68" s="1"/>
  <c r="M109" i="68" s="1"/>
  <c r="M108" i="68" s="1"/>
  <c r="M107" i="68" s="1"/>
  <c r="M106" i="68" s="1"/>
  <c r="M105" i="68" s="1"/>
  <c r="M104" i="68" s="1"/>
  <c r="M103" i="68" s="1"/>
  <c r="M102" i="68" s="1"/>
  <c r="M101" i="68" s="1"/>
  <c r="M100" i="68" s="1"/>
  <c r="M99" i="68" s="1"/>
  <c r="M98" i="68" s="1"/>
  <c r="M97" i="68" s="1"/>
  <c r="M96" i="68" s="1"/>
  <c r="M95" i="68" s="1"/>
  <c r="M94" i="68" s="1"/>
  <c r="M93" i="68" s="1"/>
  <c r="M92" i="68" s="1"/>
  <c r="M91" i="68" s="1"/>
  <c r="M90" i="68" s="1"/>
  <c r="M89" i="68" s="1"/>
  <c r="M88" i="68" s="1"/>
  <c r="M87" i="68" s="1"/>
  <c r="M86" i="68" s="1"/>
  <c r="M85" i="68" s="1"/>
  <c r="M84" i="68" s="1"/>
  <c r="M83" i="68" s="1"/>
  <c r="M82" i="68" s="1"/>
  <c r="M81" i="68" s="1"/>
  <c r="I245" i="67"/>
  <c r="G245" i="67"/>
  <c r="J245" i="67"/>
  <c r="G245" i="68"/>
  <c r="J245" i="68"/>
  <c r="I245" i="68"/>
  <c r="AJ185" i="68"/>
  <c r="AJ184" i="68" s="1"/>
  <c r="AK185" i="68"/>
  <c r="AK184" i="68" s="1"/>
  <c r="AZ185" i="65"/>
  <c r="AZ184" i="65" s="1"/>
  <c r="BA185" i="65"/>
  <c r="BA184" i="65" s="1"/>
  <c r="AV165" i="67"/>
  <c r="AV164" i="67" s="1"/>
  <c r="AU165" i="67"/>
  <c r="AU164" i="67" s="1"/>
  <c r="S245" i="67"/>
  <c r="AD246" i="67"/>
  <c r="AD245" i="67" s="1"/>
  <c r="AV145" i="67"/>
  <c r="AV144" i="67" s="1"/>
  <c r="AU145" i="67"/>
  <c r="AU144" i="67" s="1"/>
  <c r="X18" i="67"/>
  <c r="X19" i="67" s="1"/>
  <c r="AJ225" i="65"/>
  <c r="AJ224" i="65" s="1"/>
  <c r="AK225" i="65"/>
  <c r="AK224" i="65" s="1"/>
  <c r="BA185" i="69"/>
  <c r="BA184" i="69" s="1"/>
  <c r="AZ185" i="69"/>
  <c r="AZ184" i="69" s="1"/>
  <c r="L35" i="68"/>
  <c r="BE63" i="68"/>
  <c r="AY165" i="59"/>
  <c r="AX165" i="59"/>
  <c r="AT145" i="69"/>
  <c r="AS145" i="69"/>
  <c r="AV225" i="65"/>
  <c r="AV224" i="65" s="1"/>
  <c r="AU225" i="65"/>
  <c r="AU224" i="65" s="1"/>
  <c r="X18" i="68" l="1"/>
  <c r="X19" i="68" s="1"/>
  <c r="O17" i="65"/>
  <c r="O18" i="65" s="1"/>
  <c r="X18" i="65" s="1"/>
  <c r="X19" i="65" s="1"/>
  <c r="N34" i="65" s="1"/>
  <c r="P34" i="65" s="1"/>
  <c r="N36" i="66"/>
  <c r="F21" i="65"/>
  <c r="AF19" i="59"/>
  <c r="AF23" i="59" s="1"/>
  <c r="S17" i="69"/>
  <c r="S18" i="69" s="1"/>
  <c r="F22" i="65"/>
  <c r="BD28" i="65"/>
  <c r="BE28" i="65" s="1"/>
  <c r="Q31" i="65" s="1"/>
  <c r="BE44" i="59"/>
  <c r="BE25" i="59" s="1"/>
  <c r="BA25" i="59"/>
  <c r="BD25" i="59" s="1"/>
  <c r="BE28" i="69"/>
  <c r="Q31" i="69" s="1"/>
  <c r="L31" i="69"/>
  <c r="BE44" i="68"/>
  <c r="BE25" i="68" s="1"/>
  <c r="BA25" i="68"/>
  <c r="L33" i="68"/>
  <c r="BE52" i="68"/>
  <c r="BE26" i="68" s="1"/>
  <c r="BA26" i="68"/>
  <c r="Y246" i="68"/>
  <c r="Y245" i="68" s="1"/>
  <c r="N245" i="68"/>
  <c r="T245" i="69"/>
  <c r="U245" i="69"/>
  <c r="R245" i="69"/>
  <c r="BE63" i="69"/>
  <c r="L35" i="69"/>
  <c r="AO14" i="67"/>
  <c r="J2" i="67" s="1"/>
  <c r="AE18" i="67"/>
  <c r="AF18" i="67" s="1"/>
  <c r="AE19" i="67"/>
  <c r="AF19" i="67" s="1"/>
  <c r="AE20" i="67"/>
  <c r="AF20" i="67" s="1"/>
  <c r="BC24" i="67"/>
  <c r="BD24" i="67" s="1"/>
  <c r="AE21" i="67"/>
  <c r="AF21" i="67" s="1"/>
  <c r="AE22" i="67"/>
  <c r="AF22" i="67" s="1"/>
  <c r="BA145" i="67"/>
  <c r="BA144" i="67" s="1"/>
  <c r="AZ145" i="67"/>
  <c r="AZ144" i="67" s="1"/>
  <c r="G247" i="67"/>
  <c r="H247" i="67"/>
  <c r="AC245" i="68"/>
  <c r="AF245" i="68"/>
  <c r="AE245" i="68"/>
  <c r="E245" i="68"/>
  <c r="D245" i="68"/>
  <c r="B245" i="68"/>
  <c r="T245" i="68"/>
  <c r="R245" i="68"/>
  <c r="U245" i="68"/>
  <c r="BE36" i="68"/>
  <c r="BE24" i="68" s="1"/>
  <c r="BA24" i="68"/>
  <c r="L33" i="67"/>
  <c r="AP165" i="59"/>
  <c r="AP164" i="59" s="1"/>
  <c r="AO165" i="59"/>
  <c r="AO164" i="59" s="1"/>
  <c r="E245" i="67"/>
  <c r="B245" i="67"/>
  <c r="D245" i="67"/>
  <c r="BE63" i="65"/>
  <c r="L35" i="65"/>
  <c r="BC26" i="68"/>
  <c r="BC25" i="68"/>
  <c r="BA26" i="67"/>
  <c r="BD26" i="67" s="1"/>
  <c r="BE52" i="67"/>
  <c r="BE26" i="67" s="1"/>
  <c r="Y246" i="67"/>
  <c r="Y245" i="67" s="1"/>
  <c r="N245" i="67"/>
  <c r="AO14" i="68"/>
  <c r="J2" i="68" s="1"/>
  <c r="N32" i="68" s="1"/>
  <c r="P32" i="68" s="1"/>
  <c r="AE20" i="68"/>
  <c r="AF20" i="68" s="1"/>
  <c r="AE21" i="68"/>
  <c r="AF21" i="68" s="1"/>
  <c r="AE18" i="68"/>
  <c r="AF18" i="68" s="1"/>
  <c r="AE19" i="68"/>
  <c r="AF19" i="68" s="1"/>
  <c r="AE22" i="68"/>
  <c r="AF22" i="68" s="1"/>
  <c r="BC24" i="68"/>
  <c r="B245" i="65"/>
  <c r="D245" i="65"/>
  <c r="E245" i="65"/>
  <c r="D245" i="59"/>
  <c r="E245" i="59"/>
  <c r="B245" i="59"/>
  <c r="I121" i="65"/>
  <c r="I120" i="65" s="1"/>
  <c r="I119" i="65" s="1"/>
  <c r="I118" i="65" s="1"/>
  <c r="I117" i="65" s="1"/>
  <c r="I116" i="65" s="1"/>
  <c r="I115" i="65" s="1"/>
  <c r="I114" i="65" s="1"/>
  <c r="I113" i="65" s="1"/>
  <c r="I112" i="65" s="1"/>
  <c r="I111" i="65" s="1"/>
  <c r="I110" i="65" s="1"/>
  <c r="I109" i="65" s="1"/>
  <c r="I108" i="65" s="1"/>
  <c r="I107" i="65" s="1"/>
  <c r="I106" i="65" s="1"/>
  <c r="I105" i="65" s="1"/>
  <c r="I104" i="65" s="1"/>
  <c r="I103" i="65" s="1"/>
  <c r="I102" i="65" s="1"/>
  <c r="I101" i="65" s="1"/>
  <c r="I100" i="65" s="1"/>
  <c r="I99" i="65" s="1"/>
  <c r="I98" i="65" s="1"/>
  <c r="I97" i="65" s="1"/>
  <c r="I96" i="65" s="1"/>
  <c r="I95" i="65" s="1"/>
  <c r="I94" i="65" s="1"/>
  <c r="I93" i="65" s="1"/>
  <c r="I92" i="65" s="1"/>
  <c r="I91" i="65" s="1"/>
  <c r="I90" i="65" s="1"/>
  <c r="I89" i="65" s="1"/>
  <c r="I88" i="65" s="1"/>
  <c r="I87" i="65" s="1"/>
  <c r="I86" i="65" s="1"/>
  <c r="I85" i="65" s="1"/>
  <c r="I84" i="65" s="1"/>
  <c r="I83" i="65" s="1"/>
  <c r="I82" i="65" s="1"/>
  <c r="I81" i="65" s="1"/>
  <c r="BE63" i="59"/>
  <c r="L35" i="59"/>
  <c r="N245" i="65"/>
  <c r="Y246" i="65"/>
  <c r="Y245" i="65" s="1"/>
  <c r="N245" i="59"/>
  <c r="Y246" i="59"/>
  <c r="Y245" i="59" s="1"/>
  <c r="AF20" i="69"/>
  <c r="AF23" i="69" s="1"/>
  <c r="D38" i="72"/>
  <c r="BC24" i="59"/>
  <c r="BD24" i="59" s="1"/>
  <c r="D39" i="71"/>
  <c r="AO14" i="59"/>
  <c r="J2" i="59" s="1"/>
  <c r="AV205" i="65"/>
  <c r="AV204" i="65" s="1"/>
  <c r="AU205" i="65"/>
  <c r="AU204" i="65" s="1"/>
  <c r="H246" i="59"/>
  <c r="AP145" i="67"/>
  <c r="AP144" i="67" s="1"/>
  <c r="AO145" i="67"/>
  <c r="AO144" i="67" s="1"/>
  <c r="N32" i="67"/>
  <c r="P32" i="67" s="1"/>
  <c r="N31" i="67"/>
  <c r="K121" i="69"/>
  <c r="K120" i="69" s="1"/>
  <c r="K119" i="69" s="1"/>
  <c r="K118" i="69" s="1"/>
  <c r="K117" i="69" s="1"/>
  <c r="K116" i="69" s="1"/>
  <c r="K115" i="69" s="1"/>
  <c r="K114" i="69" s="1"/>
  <c r="K113" i="69" s="1"/>
  <c r="K112" i="69" s="1"/>
  <c r="K111" i="69" s="1"/>
  <c r="K110" i="69" s="1"/>
  <c r="K109" i="69" s="1"/>
  <c r="K108" i="69" s="1"/>
  <c r="K107" i="69" s="1"/>
  <c r="K106" i="69" s="1"/>
  <c r="K105" i="69" s="1"/>
  <c r="K104" i="69" s="1"/>
  <c r="K103" i="69" s="1"/>
  <c r="K102" i="69" s="1"/>
  <c r="K101" i="69" s="1"/>
  <c r="K100" i="69" s="1"/>
  <c r="K99" i="69" s="1"/>
  <c r="K98" i="69" s="1"/>
  <c r="K97" i="69" s="1"/>
  <c r="K96" i="69" s="1"/>
  <c r="K95" i="69" s="1"/>
  <c r="K94" i="69" s="1"/>
  <c r="K93" i="69" s="1"/>
  <c r="K92" i="69" s="1"/>
  <c r="K91" i="69" s="1"/>
  <c r="K90" i="69" s="1"/>
  <c r="K89" i="69" s="1"/>
  <c r="K88" i="69" s="1"/>
  <c r="K87" i="69" s="1"/>
  <c r="K86" i="69" s="1"/>
  <c r="K85" i="69" s="1"/>
  <c r="K84" i="69" s="1"/>
  <c r="K83" i="69" s="1"/>
  <c r="K82" i="69" s="1"/>
  <c r="K81" i="69" s="1"/>
  <c r="Q17" i="59"/>
  <c r="Q18" i="59" s="1"/>
  <c r="AV145" i="69"/>
  <c r="AV144" i="69" s="1"/>
  <c r="AU145" i="69"/>
  <c r="AU144" i="69" s="1"/>
  <c r="AF245" i="65"/>
  <c r="AC245" i="65"/>
  <c r="AE245" i="65"/>
  <c r="N30" i="69"/>
  <c r="N29" i="69"/>
  <c r="F20" i="69"/>
  <c r="AK145" i="69"/>
  <c r="AK144" i="69" s="1"/>
  <c r="AJ145" i="69"/>
  <c r="AJ144" i="69" s="1"/>
  <c r="AK205" i="65"/>
  <c r="AK204" i="65" s="1"/>
  <c r="AJ205" i="65"/>
  <c r="AJ204" i="65" s="1"/>
  <c r="U245" i="65"/>
  <c r="R245" i="65"/>
  <c r="T245" i="65"/>
  <c r="AF18" i="65"/>
  <c r="AF23" i="65" s="1"/>
  <c r="AZ165" i="59"/>
  <c r="AZ164" i="59" s="1"/>
  <c r="BA165" i="59"/>
  <c r="BA164" i="59" s="1"/>
  <c r="AE245" i="67"/>
  <c r="AC245" i="67"/>
  <c r="AF245" i="67"/>
  <c r="H247" i="65"/>
  <c r="G247" i="65"/>
  <c r="H247" i="69"/>
  <c r="G247" i="69"/>
  <c r="J121" i="59"/>
  <c r="J120" i="59" s="1"/>
  <c r="J119" i="59" s="1"/>
  <c r="J118" i="59" s="1"/>
  <c r="J117" i="59" s="1"/>
  <c r="J116" i="59" s="1"/>
  <c r="J115" i="59" s="1"/>
  <c r="J114" i="59" s="1"/>
  <c r="J113" i="59" s="1"/>
  <c r="J112" i="59" s="1"/>
  <c r="J111" i="59" s="1"/>
  <c r="J110" i="59" s="1"/>
  <c r="J109" i="59" s="1"/>
  <c r="J108" i="59" s="1"/>
  <c r="J107" i="59" s="1"/>
  <c r="J106" i="59" s="1"/>
  <c r="J105" i="59" s="1"/>
  <c r="J104" i="59" s="1"/>
  <c r="J103" i="59" s="1"/>
  <c r="J102" i="59" s="1"/>
  <c r="J101" i="59" s="1"/>
  <c r="J100" i="59" s="1"/>
  <c r="J99" i="59" s="1"/>
  <c r="J98" i="59" s="1"/>
  <c r="J97" i="59" s="1"/>
  <c r="J96" i="59" s="1"/>
  <c r="J95" i="59" s="1"/>
  <c r="J94" i="59" s="1"/>
  <c r="J93" i="59" s="1"/>
  <c r="J92" i="59" s="1"/>
  <c r="J91" i="59" s="1"/>
  <c r="J90" i="59" s="1"/>
  <c r="J89" i="59" s="1"/>
  <c r="J88" i="59" s="1"/>
  <c r="J87" i="59" s="1"/>
  <c r="J86" i="59" s="1"/>
  <c r="J85" i="59" s="1"/>
  <c r="J84" i="59" s="1"/>
  <c r="J83" i="59" s="1"/>
  <c r="J82" i="59" s="1"/>
  <c r="J81" i="59" s="1"/>
  <c r="N245" i="69"/>
  <c r="Y246" i="69"/>
  <c r="Y245" i="69" s="1"/>
  <c r="T245" i="67"/>
  <c r="R245" i="67"/>
  <c r="U245" i="67"/>
  <c r="G247" i="68"/>
  <c r="H247" i="68"/>
  <c r="N31" i="68"/>
  <c r="AF245" i="69"/>
  <c r="AE245" i="69"/>
  <c r="AC245" i="69"/>
  <c r="O9" i="69"/>
  <c r="E245" i="69"/>
  <c r="B245" i="69"/>
  <c r="D245" i="69"/>
  <c r="E20" i="65" l="1"/>
  <c r="N30" i="65" s="1"/>
  <c r="E22" i="69"/>
  <c r="X18" i="69"/>
  <c r="X19" i="69" s="1"/>
  <c r="L31" i="65"/>
  <c r="J247" i="69"/>
  <c r="J246" i="69" s="1"/>
  <c r="I247" i="69"/>
  <c r="I246" i="69" s="1"/>
  <c r="X245" i="68"/>
  <c r="AA245" i="68"/>
  <c r="Z245" i="68"/>
  <c r="BA27" i="59"/>
  <c r="BD27" i="59" s="1"/>
  <c r="N25" i="66"/>
  <c r="F20" i="59"/>
  <c r="N29" i="59"/>
  <c r="N30" i="59"/>
  <c r="F24" i="59"/>
  <c r="F23" i="59"/>
  <c r="F22" i="59"/>
  <c r="BD26" i="68"/>
  <c r="S247" i="67"/>
  <c r="R247" i="67"/>
  <c r="I247" i="65"/>
  <c r="I246" i="65" s="1"/>
  <c r="J247" i="65"/>
  <c r="J246" i="65" s="1"/>
  <c r="L33" i="65"/>
  <c r="AF23" i="67"/>
  <c r="AC247" i="65"/>
  <c r="AD247" i="65"/>
  <c r="BD28" i="59"/>
  <c r="BD24" i="68"/>
  <c r="AD247" i="68"/>
  <c r="AC247" i="68"/>
  <c r="BA27" i="67"/>
  <c r="BD27" i="67" s="1"/>
  <c r="BD28" i="67" s="1"/>
  <c r="N46" i="66"/>
  <c r="F21" i="67"/>
  <c r="F22" i="67"/>
  <c r="N33" i="67"/>
  <c r="P33" i="67" s="1"/>
  <c r="N34" i="67"/>
  <c r="P34" i="67" s="1"/>
  <c r="F20" i="67"/>
  <c r="N29" i="67"/>
  <c r="F23" i="67"/>
  <c r="N30" i="67"/>
  <c r="F24" i="67"/>
  <c r="AD247" i="69"/>
  <c r="AC247" i="69"/>
  <c r="AA245" i="69"/>
  <c r="X245" i="69"/>
  <c r="Z245" i="69"/>
  <c r="AF23" i="68"/>
  <c r="J247" i="67"/>
  <c r="J246" i="67" s="1"/>
  <c r="I247" i="67"/>
  <c r="I246" i="67" s="1"/>
  <c r="L33" i="69"/>
  <c r="O245" i="69"/>
  <c r="M245" i="69"/>
  <c r="P245" i="69"/>
  <c r="AC247" i="67"/>
  <c r="AD247" i="67"/>
  <c r="C247" i="59"/>
  <c r="B247" i="59"/>
  <c r="C247" i="67"/>
  <c r="B247" i="67"/>
  <c r="R247" i="68"/>
  <c r="S247" i="68"/>
  <c r="S247" i="69"/>
  <c r="R247" i="69"/>
  <c r="BD25" i="68"/>
  <c r="E21" i="59"/>
  <c r="X18" i="59"/>
  <c r="X19" i="59" s="1"/>
  <c r="N35" i="67" s="1"/>
  <c r="P35" i="67" s="1"/>
  <c r="M245" i="59"/>
  <c r="O245" i="59"/>
  <c r="P245" i="59"/>
  <c r="N57" i="66"/>
  <c r="BA27" i="68"/>
  <c r="BD27" i="68" s="1"/>
  <c r="F23" i="68"/>
  <c r="F20" i="68"/>
  <c r="F22" i="68"/>
  <c r="N34" i="68"/>
  <c r="P34" i="68" s="1"/>
  <c r="N30" i="68"/>
  <c r="N33" i="68"/>
  <c r="P33" i="68" s="1"/>
  <c r="N29" i="68"/>
  <c r="F24" i="68"/>
  <c r="R247" i="65"/>
  <c r="S247" i="65"/>
  <c r="B247" i="69"/>
  <c r="C247" i="69"/>
  <c r="N31" i="65"/>
  <c r="AA245" i="65"/>
  <c r="Z245" i="65"/>
  <c r="X245" i="65"/>
  <c r="M245" i="67"/>
  <c r="O245" i="67"/>
  <c r="P245" i="67"/>
  <c r="X245" i="59"/>
  <c r="AA245" i="59"/>
  <c r="Z245" i="59"/>
  <c r="N33" i="65"/>
  <c r="M245" i="65"/>
  <c r="P245" i="65"/>
  <c r="O245" i="65"/>
  <c r="X245" i="67"/>
  <c r="Z245" i="67"/>
  <c r="AA245" i="67"/>
  <c r="F21" i="68"/>
  <c r="N32" i="65"/>
  <c r="P32" i="65" s="1"/>
  <c r="H245" i="59"/>
  <c r="S246" i="59"/>
  <c r="L33" i="59"/>
  <c r="B247" i="65"/>
  <c r="C247" i="65"/>
  <c r="B247" i="68"/>
  <c r="C247" i="68"/>
  <c r="J247" i="68"/>
  <c r="J246" i="68" s="1"/>
  <c r="I247" i="68"/>
  <c r="I246" i="68" s="1"/>
  <c r="M245" i="68"/>
  <c r="P245" i="68"/>
  <c r="O245" i="68"/>
  <c r="F20" i="65" l="1"/>
  <c r="L37" i="65" s="1"/>
  <c r="P37" i="65" s="1"/>
  <c r="N29" i="65"/>
  <c r="N32" i="69"/>
  <c r="P32" i="69" s="1"/>
  <c r="N31" i="69"/>
  <c r="P31" i="69" s="1"/>
  <c r="N34" i="69"/>
  <c r="P34" i="69" s="1"/>
  <c r="N33" i="69"/>
  <c r="P33" i="69" s="1"/>
  <c r="F22" i="69"/>
  <c r="P31" i="65"/>
  <c r="BE28" i="67"/>
  <c r="Q31" i="67" s="1"/>
  <c r="L31" i="67"/>
  <c r="P31" i="67" s="1"/>
  <c r="AD246" i="59"/>
  <c r="AD245" i="59" s="1"/>
  <c r="S245" i="59"/>
  <c r="M247" i="65"/>
  <c r="N247" i="65"/>
  <c r="M247" i="67"/>
  <c r="N247" i="67"/>
  <c r="AF247" i="68"/>
  <c r="AF246" i="68" s="1"/>
  <c r="AE247" i="68"/>
  <c r="AE246" i="68" s="1"/>
  <c r="T247" i="67"/>
  <c r="T246" i="67" s="1"/>
  <c r="U247" i="67"/>
  <c r="U246" i="67" s="1"/>
  <c r="BA15" i="67" s="1"/>
  <c r="BD15" i="67" s="1"/>
  <c r="BD19" i="67" s="1"/>
  <c r="L30" i="67" s="1"/>
  <c r="P30" i="67" s="1"/>
  <c r="N247" i="68"/>
  <c r="M247" i="68"/>
  <c r="J245" i="59"/>
  <c r="G245" i="59"/>
  <c r="I245" i="59"/>
  <c r="N34" i="59"/>
  <c r="P34" i="59" s="1"/>
  <c r="N247" i="59"/>
  <c r="M247" i="59"/>
  <c r="BD28" i="68"/>
  <c r="X247" i="68"/>
  <c r="Y247" i="68"/>
  <c r="Y247" i="65"/>
  <c r="X247" i="65"/>
  <c r="BE28" i="59"/>
  <c r="Q31" i="59" s="1"/>
  <c r="L31" i="59"/>
  <c r="G28" i="66"/>
  <c r="F21" i="59"/>
  <c r="G24" i="59" s="1"/>
  <c r="E247" i="67"/>
  <c r="E246" i="67" s="1"/>
  <c r="D247" i="67"/>
  <c r="D246" i="67" s="1"/>
  <c r="G24" i="67"/>
  <c r="Q37" i="67"/>
  <c r="L37" i="67"/>
  <c r="P37" i="67" s="1"/>
  <c r="AF247" i="65"/>
  <c r="AF246" i="65" s="1"/>
  <c r="AE247" i="65"/>
  <c r="AE246" i="65" s="1"/>
  <c r="Q37" i="65"/>
  <c r="G24" i="65"/>
  <c r="N33" i="59"/>
  <c r="P33" i="59" s="1"/>
  <c r="N35" i="68"/>
  <c r="P35" i="68" s="1"/>
  <c r="E247" i="59"/>
  <c r="E246" i="59" s="1"/>
  <c r="D247" i="59"/>
  <c r="D246" i="59" s="1"/>
  <c r="P33" i="65"/>
  <c r="L37" i="68"/>
  <c r="P37" i="68" s="1"/>
  <c r="G24" i="68"/>
  <c r="Q37" i="68"/>
  <c r="E247" i="65"/>
  <c r="E246" i="65" s="1"/>
  <c r="D247" i="65"/>
  <c r="D246" i="65" s="1"/>
  <c r="N35" i="59"/>
  <c r="P35" i="59" s="1"/>
  <c r="AF247" i="67"/>
  <c r="AF246" i="67" s="1"/>
  <c r="AE247" i="67"/>
  <c r="AE246" i="67" s="1"/>
  <c r="Y247" i="67"/>
  <c r="X247" i="67"/>
  <c r="T247" i="65"/>
  <c r="T246" i="65" s="1"/>
  <c r="U247" i="65"/>
  <c r="U246" i="65" s="1"/>
  <c r="BA15" i="65" s="1"/>
  <c r="BD15" i="65" s="1"/>
  <c r="BD19" i="65" s="1"/>
  <c r="T247" i="69"/>
  <c r="T246" i="69" s="1"/>
  <c r="U247" i="69"/>
  <c r="U246" i="69" s="1"/>
  <c r="BA15" i="69" s="1"/>
  <c r="BD15" i="69" s="1"/>
  <c r="BD19" i="69" s="1"/>
  <c r="N247" i="69"/>
  <c r="M247" i="69"/>
  <c r="N35" i="69"/>
  <c r="P35" i="69" s="1"/>
  <c r="N35" i="65"/>
  <c r="P35" i="65" s="1"/>
  <c r="N31" i="59"/>
  <c r="N32" i="59"/>
  <c r="P32" i="59" s="1"/>
  <c r="E247" i="68"/>
  <c r="E246" i="68" s="1"/>
  <c r="D247" i="68"/>
  <c r="D246" i="68" s="1"/>
  <c r="X247" i="59"/>
  <c r="Y247" i="59"/>
  <c r="X247" i="69"/>
  <c r="Y247" i="69"/>
  <c r="E247" i="69"/>
  <c r="E246" i="69" s="1"/>
  <c r="D247" i="69"/>
  <c r="D246" i="69" s="1"/>
  <c r="U247" i="68"/>
  <c r="U246" i="68" s="1"/>
  <c r="BA15" i="68" s="1"/>
  <c r="BD15" i="68" s="1"/>
  <c r="BD19" i="68" s="1"/>
  <c r="T247" i="68"/>
  <c r="T246" i="68" s="1"/>
  <c r="AE247" i="69"/>
  <c r="AE246" i="69" s="1"/>
  <c r="AF247" i="69"/>
  <c r="AF246" i="69" s="1"/>
  <c r="Q37" i="69" l="1"/>
  <c r="G24" i="69"/>
  <c r="L37" i="69"/>
  <c r="P37" i="69" s="1"/>
  <c r="BE19" i="68"/>
  <c r="Q30" i="68" s="1"/>
  <c r="L30" i="68"/>
  <c r="P30" i="68" s="1"/>
  <c r="L30" i="65"/>
  <c r="P30" i="65" s="1"/>
  <c r="BE19" i="65"/>
  <c r="Q30" i="65" s="1"/>
  <c r="BE19" i="69"/>
  <c r="Q30" i="69" s="1"/>
  <c r="L30" i="69"/>
  <c r="P30" i="69" s="1"/>
  <c r="BE19" i="67"/>
  <c r="Q30" i="67" s="1"/>
  <c r="BA6" i="67"/>
  <c r="BD6" i="67" s="1"/>
  <c r="BD10" i="67" s="1"/>
  <c r="BE10" i="67" s="1"/>
  <c r="Q29" i="67" s="1"/>
  <c r="L37" i="59"/>
  <c r="P37" i="59" s="1"/>
  <c r="Q37" i="59"/>
  <c r="O247" i="69"/>
  <c r="O246" i="69" s="1"/>
  <c r="P247" i="69"/>
  <c r="P246" i="69" s="1"/>
  <c r="BA6" i="69" s="1"/>
  <c r="BD6" i="69" s="1"/>
  <c r="BD10" i="69" s="1"/>
  <c r="O247" i="67"/>
  <c r="O246" i="67" s="1"/>
  <c r="P247" i="67"/>
  <c r="P246" i="67" s="1"/>
  <c r="D31" i="71"/>
  <c r="D30" i="72"/>
  <c r="H24" i="59"/>
  <c r="H27" i="66" s="1"/>
  <c r="H247" i="59"/>
  <c r="G247" i="59"/>
  <c r="O247" i="65"/>
  <c r="O246" i="65" s="1"/>
  <c r="P247" i="65"/>
  <c r="P246" i="65" s="1"/>
  <c r="BA6" i="65" s="1"/>
  <c r="BD6" i="65" s="1"/>
  <c r="BD10" i="65" s="1"/>
  <c r="P31" i="59"/>
  <c r="D33" i="71"/>
  <c r="D32" i="72"/>
  <c r="H24" i="67"/>
  <c r="H48" i="66" s="1"/>
  <c r="T245" i="59"/>
  <c r="U245" i="59"/>
  <c r="R245" i="59"/>
  <c r="H24" i="65"/>
  <c r="H38" i="66" s="1"/>
  <c r="D31" i="72"/>
  <c r="D32" i="71"/>
  <c r="O247" i="68"/>
  <c r="O246" i="68" s="1"/>
  <c r="P247" i="68"/>
  <c r="P246" i="68" s="1"/>
  <c r="BA6" i="68" s="1"/>
  <c r="BD6" i="68" s="1"/>
  <c r="BD10" i="68" s="1"/>
  <c r="BE10" i="68" s="1"/>
  <c r="Q29" i="68" s="1"/>
  <c r="AF245" i="59"/>
  <c r="AC245" i="59"/>
  <c r="AE245" i="59"/>
  <c r="Z247" i="67"/>
  <c r="Z246" i="67" s="1"/>
  <c r="AA247" i="67"/>
  <c r="AA246" i="67" s="1"/>
  <c r="Z247" i="65"/>
  <c r="Z246" i="65" s="1"/>
  <c r="AA247" i="65"/>
  <c r="AA246" i="65" s="1"/>
  <c r="AA247" i="68"/>
  <c r="AA246" i="68" s="1"/>
  <c r="Z247" i="68"/>
  <c r="Z246" i="68" s="1"/>
  <c r="Z247" i="69"/>
  <c r="Z246" i="69" s="1"/>
  <c r="AA247" i="69"/>
  <c r="AA246" i="69" s="1"/>
  <c r="D33" i="72"/>
  <c r="D34" i="71"/>
  <c r="H24" i="68"/>
  <c r="H59" i="66" s="1"/>
  <c r="BE28" i="68"/>
  <c r="Q31" i="68" s="1"/>
  <c r="L31" i="68"/>
  <c r="P31" i="68" s="1"/>
  <c r="AA247" i="59"/>
  <c r="AA246" i="59" s="1"/>
  <c r="Z247" i="59"/>
  <c r="Z246" i="59" s="1"/>
  <c r="O247" i="59"/>
  <c r="O246" i="59" s="1"/>
  <c r="P247" i="59"/>
  <c r="P246" i="59" s="1"/>
  <c r="BA6" i="59" s="1"/>
  <c r="BD6" i="59" s="1"/>
  <c r="BD10" i="59" s="1"/>
  <c r="H24" i="69" l="1"/>
  <c r="H70" i="66" s="1"/>
  <c r="D34" i="72"/>
  <c r="D35" i="71"/>
  <c r="L29" i="69"/>
  <c r="P29" i="69" s="1"/>
  <c r="P38" i="69" s="1"/>
  <c r="BE10" i="69"/>
  <c r="Q29" i="69" s="1"/>
  <c r="L29" i="59"/>
  <c r="P29" i="59" s="1"/>
  <c r="BE10" i="59"/>
  <c r="Q29" i="59" s="1"/>
  <c r="L29" i="65"/>
  <c r="P29" i="65" s="1"/>
  <c r="BE10" i="65"/>
  <c r="Q29" i="65" s="1"/>
  <c r="L29" i="68"/>
  <c r="P29" i="68" s="1"/>
  <c r="P38" i="68" s="1"/>
  <c r="R29" i="68" s="1"/>
  <c r="L29" i="67"/>
  <c r="P29" i="67" s="1"/>
  <c r="P38" i="67" s="1"/>
  <c r="P38" i="65"/>
  <c r="R29" i="65" s="1"/>
  <c r="I247" i="59"/>
  <c r="I246" i="59" s="1"/>
  <c r="J247" i="59"/>
  <c r="J246" i="59" s="1"/>
  <c r="R247" i="59"/>
  <c r="S247" i="59"/>
  <c r="AD247" i="59"/>
  <c r="AC247" i="59"/>
  <c r="H31" i="71"/>
  <c r="H30" i="72"/>
  <c r="H32" i="71"/>
  <c r="H31" i="72"/>
  <c r="H33" i="71"/>
  <c r="H32" i="72"/>
  <c r="H34" i="71"/>
  <c r="H33" i="72"/>
  <c r="H35" i="71" l="1"/>
  <c r="H34" i="72"/>
  <c r="R31" i="68"/>
  <c r="P39" i="69"/>
  <c r="P40" i="69" s="1"/>
  <c r="I70" i="66" s="1"/>
  <c r="R36" i="69"/>
  <c r="R32" i="69"/>
  <c r="R34" i="69"/>
  <c r="R33" i="69"/>
  <c r="R37" i="69"/>
  <c r="R31" i="69"/>
  <c r="R30" i="69"/>
  <c r="R35" i="69"/>
  <c r="R29" i="69"/>
  <c r="P39" i="65"/>
  <c r="P40" i="65" s="1"/>
  <c r="I38" i="66" s="1"/>
  <c r="R36" i="65"/>
  <c r="R34" i="65"/>
  <c r="R31" i="65"/>
  <c r="R32" i="65"/>
  <c r="R37" i="65"/>
  <c r="R35" i="65"/>
  <c r="R30" i="65"/>
  <c r="R33" i="65"/>
  <c r="P39" i="67"/>
  <c r="P40" i="67" s="1"/>
  <c r="I48" i="66" s="1"/>
  <c r="R36" i="67"/>
  <c r="R32" i="67"/>
  <c r="R35" i="67"/>
  <c r="R33" i="67"/>
  <c r="R34" i="67"/>
  <c r="R31" i="67"/>
  <c r="R37" i="67"/>
  <c r="R30" i="67"/>
  <c r="AE247" i="59"/>
  <c r="AE246" i="59" s="1"/>
  <c r="AF247" i="59"/>
  <c r="AF246" i="59" s="1"/>
  <c r="R29" i="67"/>
  <c r="P39" i="68"/>
  <c r="P40" i="68" s="1"/>
  <c r="I59" i="66" s="1"/>
  <c r="R36" i="68"/>
  <c r="R32" i="68"/>
  <c r="R33" i="68"/>
  <c r="R34" i="68"/>
  <c r="R37" i="68"/>
  <c r="R35" i="68"/>
  <c r="R30" i="68"/>
  <c r="U247" i="59"/>
  <c r="U246" i="59" s="1"/>
  <c r="BA15" i="59" s="1"/>
  <c r="BD15" i="59" s="1"/>
  <c r="BD19" i="59" s="1"/>
  <c r="T247" i="59"/>
  <c r="T246" i="59" s="1"/>
  <c r="L30" i="59" l="1"/>
  <c r="P30" i="59" s="1"/>
  <c r="P38" i="59" s="1"/>
  <c r="BE19" i="59"/>
  <c r="Q30" i="59" s="1"/>
  <c r="R38" i="65"/>
  <c r="R38" i="68"/>
  <c r="K19" i="74"/>
  <c r="M19" i="74" s="1"/>
  <c r="L33" i="72"/>
  <c r="L34" i="71"/>
  <c r="K20" i="74"/>
  <c r="M20" i="74" s="1"/>
  <c r="L34" i="72"/>
  <c r="L35" i="71"/>
  <c r="R38" i="69"/>
  <c r="L31" i="72"/>
  <c r="L32" i="71"/>
  <c r="K17" i="74"/>
  <c r="M17" i="74" s="1"/>
  <c r="R38" i="67"/>
  <c r="L33" i="71"/>
  <c r="L32" i="72"/>
  <c r="K18" i="74"/>
  <c r="M18" i="74" s="1"/>
  <c r="P39" i="59" l="1"/>
  <c r="P40" i="59" s="1"/>
  <c r="I27" i="66" s="1"/>
  <c r="R36" i="59"/>
  <c r="R33" i="59"/>
  <c r="R37" i="59"/>
  <c r="R32" i="59"/>
  <c r="R34" i="59"/>
  <c r="R35" i="59"/>
  <c r="R31" i="59"/>
  <c r="R29" i="59"/>
  <c r="R30" i="59"/>
  <c r="K16" i="74" l="1"/>
  <c r="M16" i="74" s="1"/>
  <c r="L31" i="71"/>
  <c r="L30" i="72"/>
  <c r="R38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EC80526D-7009-4F95-BAC2-F5662116E90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1825779A-3FD9-4BEE-B06F-336816E418D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B271B803-A869-4BAE-8FDA-5B962519C34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BF0F4AEE-1797-482A-AC58-54F04959115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sharedStrings.xml><?xml version="1.0" encoding="utf-8"?>
<sst xmlns="http://schemas.openxmlformats.org/spreadsheetml/2006/main" count="5222" uniqueCount="1065">
  <si>
    <t>Condiciones ambientales</t>
  </si>
  <si>
    <t xml:space="preserve">Temperatura  ºC </t>
  </si>
  <si>
    <t>Pruebas</t>
  </si>
  <si>
    <t>Temperatura</t>
  </si>
  <si>
    <t>Densidad</t>
  </si>
  <si>
    <t>Volumen</t>
  </si>
  <si>
    <t>Lleno</t>
  </si>
  <si>
    <t>Vacío</t>
  </si>
  <si>
    <t>del agua</t>
  </si>
  <si>
    <t>kg</t>
  </si>
  <si>
    <t xml:space="preserve">ºC       </t>
  </si>
  <si>
    <t>g/ml</t>
  </si>
  <si>
    <t>Humedad relativa %</t>
  </si>
  <si>
    <t>ml</t>
  </si>
  <si>
    <t>Incertidumbre</t>
  </si>
  <si>
    <t>Volumen Convencional</t>
  </si>
  <si>
    <t>Masa de patrón</t>
  </si>
  <si>
    <t>Desviación</t>
  </si>
  <si>
    <t>promedio</t>
  </si>
  <si>
    <t>Pa</t>
  </si>
  <si>
    <t>kg/m3</t>
  </si>
  <si>
    <t>Inicial</t>
  </si>
  <si>
    <t>Final</t>
  </si>
  <si>
    <t xml:space="preserve">presión Pa </t>
  </si>
  <si>
    <t>Resolución</t>
  </si>
  <si>
    <t>Fila correspondiente</t>
  </si>
  <si>
    <t>incertidumbre</t>
  </si>
  <si>
    <t>Termómetro Ahlborn Mess</t>
  </si>
  <si>
    <t>Humedad</t>
  </si>
  <si>
    <t>Presión</t>
  </si>
  <si>
    <t>tw= temperatura del agua (ºC)</t>
  </si>
  <si>
    <t>a0=999.85308 kg/m3</t>
  </si>
  <si>
    <t>a1=6.32693·10-2 ºC-1 kg/m3</t>
  </si>
  <si>
    <t>a2=-8.523829·10-3 ºC-2 kg/m3</t>
  </si>
  <si>
    <t>a3=6.943248·10-5 ºC-3 kg/m3</t>
  </si>
  <si>
    <t>a4=-3.821216·10-7 ºC-4 kg/m3</t>
  </si>
  <si>
    <t>Densidad del agua (g/ml)</t>
  </si>
  <si>
    <t>mg</t>
  </si>
  <si>
    <r>
      <t>m</t>
    </r>
    <r>
      <rPr>
        <vertAlign val="subscript"/>
        <sz val="16"/>
        <rFont val="Arial"/>
        <family val="2"/>
      </rPr>
      <t>lleno</t>
    </r>
  </si>
  <si>
    <r>
      <t>m</t>
    </r>
    <r>
      <rPr>
        <vertAlign val="subscript"/>
        <sz val="16"/>
        <rFont val="Arial"/>
        <family val="2"/>
      </rPr>
      <t>vacio</t>
    </r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</si>
  <si>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</si>
  <si>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n</t>
    </r>
    <r>
      <rPr>
        <b/>
        <sz val="7"/>
        <rFont val="Arial"/>
        <family val="2"/>
      </rPr>
      <t>eff</t>
    </r>
  </si>
  <si>
    <t>¥</t>
  </si>
  <si>
    <t>k</t>
  </si>
  <si>
    <t>presion atmosferica</t>
  </si>
  <si>
    <t>P</t>
  </si>
  <si>
    <r>
      <t>densidad del agua kg/m</t>
    </r>
    <r>
      <rPr>
        <b/>
        <vertAlign val="superscript"/>
        <sz val="12"/>
        <rFont val="Arial"/>
        <family val="2"/>
      </rPr>
      <t>3</t>
    </r>
  </si>
  <si>
    <r>
      <t>correcion del aire disuelto en el agua (C</t>
    </r>
    <r>
      <rPr>
        <b/>
        <vertAlign val="subscript"/>
        <sz val="12"/>
        <rFont val="Arial"/>
        <family val="2"/>
      </rPr>
      <t>ad</t>
    </r>
    <r>
      <rPr>
        <b/>
        <sz val="12"/>
        <rFont val="Arial"/>
        <family val="2"/>
      </rPr>
      <t>)</t>
    </r>
  </si>
  <si>
    <r>
      <t>Factor de compresibilidad (F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)</t>
    </r>
  </si>
  <si>
    <r>
      <t>P</t>
    </r>
    <r>
      <rPr>
        <b/>
        <vertAlign val="subscript"/>
        <sz val="12"/>
        <rFont val="Arial"/>
        <family val="2"/>
      </rPr>
      <t>0</t>
    </r>
  </si>
  <si>
    <r>
      <t>k</t>
    </r>
    <r>
      <rPr>
        <b/>
        <vertAlign val="subscript"/>
        <sz val="12"/>
        <rFont val="Arial"/>
        <family val="2"/>
      </rPr>
      <t>0</t>
    </r>
  </si>
  <si>
    <r>
      <t>Pa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</si>
  <si>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4"/>
        <rFont val="Arial"/>
        <family val="2"/>
      </rPr>
      <t>1</t>
    </r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</si>
  <si>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</si>
  <si>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</si>
  <si>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kg/m</t>
    </r>
    <r>
      <rPr>
        <b/>
        <vertAlign val="superscript"/>
        <sz val="12"/>
        <color indexed="8"/>
        <rFont val="Arial"/>
        <family val="2"/>
      </rPr>
      <t>3</t>
    </r>
  </si>
  <si>
    <r>
      <t>kg/m</t>
    </r>
    <r>
      <rPr>
        <b/>
        <vertAlign val="superscript"/>
        <sz val="12"/>
        <color indexed="8"/>
        <rFont val="Arial"/>
        <family val="2"/>
      </rPr>
      <t>3 0</t>
    </r>
    <r>
      <rPr>
        <b/>
        <sz val="12"/>
        <color indexed="8"/>
        <rFont val="Arial"/>
        <family val="2"/>
      </rPr>
      <t>C</t>
    </r>
    <r>
      <rPr>
        <b/>
        <vertAlign val="superscript"/>
        <sz val="12"/>
        <color indexed="8"/>
        <rFont val="Arial"/>
        <family val="2"/>
      </rPr>
      <t>-1</t>
    </r>
  </si>
  <si>
    <r>
      <t>a</t>
    </r>
    <r>
      <rPr>
        <b/>
        <vertAlign val="subscript"/>
        <sz val="12"/>
        <color indexed="8"/>
        <rFont val="Arial"/>
        <family val="2"/>
      </rPr>
      <t>1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</si>
  <si>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</si>
  <si>
    <r>
      <t>a</t>
    </r>
    <r>
      <rPr>
        <b/>
        <vertAlign val="sub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</si>
  <si>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3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</si>
  <si>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</si>
  <si>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4</t>
    </r>
  </si>
  <si>
    <r>
      <t>a</t>
    </r>
    <r>
      <rPr>
        <b/>
        <vertAlign val="subscript"/>
        <sz val="12"/>
        <rFont val="Arial"/>
        <family val="2"/>
      </rPr>
      <t>5</t>
    </r>
  </si>
  <si>
    <r>
      <t>kg/m</t>
    </r>
    <r>
      <rPr>
        <b/>
        <vertAlign val="superscript"/>
        <sz val="12"/>
        <rFont val="Arial"/>
        <family val="2"/>
      </rPr>
      <t>3</t>
    </r>
  </si>
  <si>
    <r>
      <t>Densidad del aire kg/m</t>
    </r>
    <r>
      <rPr>
        <vertAlign val="superscript"/>
        <sz val="12"/>
        <rFont val="Arial"/>
        <family val="2"/>
      </rPr>
      <t>3</t>
    </r>
  </si>
  <si>
    <r>
      <t>S</t>
    </r>
    <r>
      <rPr>
        <b/>
        <vertAlign val="subscript"/>
        <sz val="12"/>
        <rFont val="Arial"/>
        <family val="2"/>
      </rPr>
      <t>0</t>
    </r>
  </si>
  <si>
    <r>
      <t>S</t>
    </r>
    <r>
      <rPr>
        <b/>
        <vertAlign val="subscript"/>
        <sz val="12"/>
        <rFont val="Arial"/>
        <family val="2"/>
      </rPr>
      <t>1</t>
    </r>
  </si>
  <si>
    <t>Marca:</t>
  </si>
  <si>
    <t>Serie:</t>
  </si>
  <si>
    <t>Modelo:</t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</si>
  <si>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-2</t>
    </r>
  </si>
  <si>
    <r>
      <t>kg/m</t>
    </r>
    <r>
      <rPr>
        <vertAlign val="superscript"/>
        <sz val="12"/>
        <rFont val="Arial"/>
        <family val="2"/>
      </rPr>
      <t>3</t>
    </r>
  </si>
  <si>
    <t>Material volumetrico graduado</t>
  </si>
  <si>
    <t>Material volumetrico con un solo trazo</t>
  </si>
  <si>
    <t>Otros</t>
  </si>
  <si>
    <t>Cap.nominal/alcance</t>
  </si>
  <si>
    <t>Material</t>
  </si>
  <si>
    <t>proced. Calibración</t>
  </si>
  <si>
    <t>Temp. Referencia:</t>
  </si>
  <si>
    <t>Prodedencia:</t>
  </si>
  <si>
    <t>Identificación</t>
  </si>
  <si>
    <t>Balanza:</t>
  </si>
  <si>
    <t>Resolucón</t>
  </si>
  <si>
    <t>Fecha:</t>
  </si>
  <si>
    <t>Registro de Medición</t>
  </si>
  <si>
    <t>Numero de mediciones</t>
  </si>
  <si>
    <t>División de escala</t>
  </si>
  <si>
    <t>Cliente:</t>
  </si>
  <si>
    <t>Direción:</t>
  </si>
  <si>
    <t>Tipo</t>
  </si>
  <si>
    <t>g</t>
  </si>
  <si>
    <t>Balanza</t>
  </si>
  <si>
    <t>Coeficiente de expansión tipico Lineal relativo en vidrio (1/°C)</t>
  </si>
  <si>
    <t>Recipiente volumetrico</t>
  </si>
  <si>
    <t>Vidrio borosilicato 3.3</t>
  </si>
  <si>
    <t>Vidrio borosilicato 5.0</t>
  </si>
  <si>
    <t>Vidrio soda Lime</t>
  </si>
  <si>
    <t>Plastico propileno</t>
  </si>
  <si>
    <t xml:space="preserve">Plastico </t>
  </si>
  <si>
    <t>Acero Inoxidable 304</t>
  </si>
  <si>
    <t>Acero inoxidable 316</t>
  </si>
  <si>
    <t>desviación Mvacio</t>
  </si>
  <si>
    <t xml:space="preserve">Termómetro </t>
  </si>
  <si>
    <t xml:space="preserve">Error </t>
  </si>
  <si>
    <t>temperatura para el agua (td=tw)</t>
  </si>
  <si>
    <t>Estimaciones</t>
  </si>
  <si>
    <t>Simbolo</t>
  </si>
  <si>
    <t>Origen</t>
  </si>
  <si>
    <t>Distribución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</si>
  <si>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u(xi)</t>
    </r>
  </si>
  <si>
    <t>Unidad</t>
  </si>
  <si>
    <t>Coef. Sensibilidad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</si>
  <si>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ci*ui(y)</t>
    </r>
  </si>
  <si>
    <r>
      <t>Grados de libertad</t>
    </r>
    <r>
      <rPr>
        <b/>
        <i/>
        <sz val="12"/>
        <rFont val="Symbol"/>
        <family val="1"/>
        <charset val="2"/>
      </rPr>
      <t>n</t>
    </r>
    <r>
      <rPr>
        <b/>
        <sz val="7"/>
        <rFont val="Arial"/>
        <family val="2"/>
      </rPr>
      <t>i</t>
    </r>
  </si>
  <si>
    <t>Porcentaje de Contribución %</t>
  </si>
  <si>
    <t xml:space="preserve">Repetiblidad </t>
  </si>
  <si>
    <t>A</t>
  </si>
  <si>
    <t>Normal</t>
  </si>
  <si>
    <t>Calibracion</t>
  </si>
  <si>
    <t>B</t>
  </si>
  <si>
    <t>Carta de control del patrón</t>
  </si>
  <si>
    <t>Rectangular</t>
  </si>
  <si>
    <t>resolución del patrón</t>
  </si>
  <si>
    <t>Repetibilidad</t>
  </si>
  <si>
    <t>Caracterización</t>
  </si>
  <si>
    <t>Caracterizacion</t>
  </si>
  <si>
    <r>
      <t xml:space="preserve">Grados efectivos de libertad </t>
    </r>
    <r>
      <rPr>
        <b/>
        <sz val="12"/>
        <rFont val="Symbol"/>
        <family val="1"/>
        <charset val="2"/>
      </rPr>
      <t>n</t>
    </r>
    <r>
      <rPr>
        <b/>
        <sz val="8"/>
        <rFont val="Arial"/>
        <family val="2"/>
      </rPr>
      <t>ef</t>
    </r>
    <r>
      <rPr>
        <b/>
        <sz val="10"/>
        <rFont val="Arial"/>
        <family val="2"/>
      </rPr>
      <t xml:space="preserve"> =</t>
    </r>
  </si>
  <si>
    <t>factor de cobertura (k) =</t>
  </si>
  <si>
    <t>humedad</t>
  </si>
  <si>
    <t xml:space="preserve">Humedad </t>
  </si>
  <si>
    <t xml:space="preserve">Presión </t>
  </si>
  <si>
    <t>presión</t>
  </si>
  <si>
    <t>Promedio</t>
  </si>
  <si>
    <r>
      <t>kg/m</t>
    </r>
    <r>
      <rPr>
        <vertAlign val="superscript"/>
        <sz val="10"/>
        <rFont val="Arial"/>
        <family val="2"/>
      </rPr>
      <t>3</t>
    </r>
  </si>
  <si>
    <t>mediciones</t>
  </si>
  <si>
    <t>balanza</t>
  </si>
  <si>
    <t xml:space="preserve">indicación con carga </t>
  </si>
  <si>
    <t>Indicación sin carga</t>
  </si>
  <si>
    <t>Indicación</t>
  </si>
  <si>
    <t>alcance</t>
  </si>
  <si>
    <t>resolución</t>
  </si>
  <si>
    <t>unidad</t>
  </si>
  <si>
    <t>500 g</t>
  </si>
  <si>
    <t>serie</t>
  </si>
  <si>
    <t>termometro</t>
  </si>
  <si>
    <t>Termometro</t>
  </si>
  <si>
    <t>modelo</t>
  </si>
  <si>
    <t>identificación</t>
  </si>
  <si>
    <r>
      <t>m</t>
    </r>
    <r>
      <rPr>
        <b/>
        <vertAlign val="superscript"/>
        <sz val="12"/>
        <rFont val="Arial"/>
        <family val="2"/>
      </rPr>
      <t>3</t>
    </r>
  </si>
  <si>
    <t>recipiente volumetrico</t>
  </si>
  <si>
    <t>L</t>
  </si>
  <si>
    <t>Descripción</t>
  </si>
  <si>
    <t>símbolo</t>
  </si>
  <si>
    <t>origen de la incertidumbre</t>
  </si>
  <si>
    <t>Tipo de distribución de probabilidad considerada</t>
  </si>
  <si>
    <t>Función de probabilidad</t>
  </si>
  <si>
    <r>
      <t xml:space="preserve">Incertidumbre típica </t>
    </r>
    <r>
      <rPr>
        <b/>
        <i/>
        <sz val="7"/>
        <rFont val="Arial"/>
        <family val="2"/>
      </rPr>
      <t>u</t>
    </r>
    <r>
      <rPr>
        <b/>
        <sz val="7"/>
        <rFont val="Arial"/>
        <family val="2"/>
      </rPr>
      <t>(</t>
    </r>
    <r>
      <rPr>
        <b/>
        <sz val="7"/>
        <rFont val="Arial"/>
        <family val="2"/>
      </rPr>
      <t>xi)</t>
    </r>
  </si>
  <si>
    <t>unidad de medida</t>
  </si>
  <si>
    <r>
      <t xml:space="preserve">Coeficiente de sensibilidad </t>
    </r>
    <r>
      <rPr>
        <b/>
        <i/>
        <sz val="7"/>
        <rFont val="Arial"/>
        <family val="2"/>
      </rPr>
      <t>C</t>
    </r>
    <r>
      <rPr>
        <b/>
        <sz val="7"/>
        <rFont val="Arial"/>
        <family val="2"/>
      </rPr>
      <t>i</t>
    </r>
  </si>
  <si>
    <r>
      <t xml:space="preserve">Contribución a la incertidumbre típica </t>
    </r>
    <r>
      <rPr>
        <b/>
        <i/>
        <sz val="9"/>
        <rFont val="Arial"/>
        <family val="2"/>
      </rPr>
      <t>c</t>
    </r>
    <r>
      <rPr>
        <b/>
        <sz val="7"/>
        <rFont val="Arial"/>
        <family val="2"/>
      </rPr>
      <t>i</t>
    </r>
    <r>
      <rPr>
        <b/>
        <i/>
        <sz val="9"/>
        <rFont val="Arial"/>
        <family val="2"/>
      </rPr>
      <t>u</t>
    </r>
    <r>
      <rPr>
        <b/>
        <sz val="7"/>
        <rFont val="Arial"/>
        <family val="2"/>
      </rPr>
      <t>i</t>
    </r>
    <r>
      <rPr>
        <b/>
        <sz val="9"/>
        <rFont val="Arial"/>
        <family val="2"/>
      </rPr>
      <t>(y)</t>
    </r>
  </si>
  <si>
    <t>Tipo B; normal</t>
  </si>
  <si>
    <t>Incertidumbre combinada (K=1)</t>
  </si>
  <si>
    <r>
      <t>u(</t>
    </r>
    <r>
      <rPr>
        <i/>
        <vertAlign val="subscript"/>
        <sz val="12"/>
        <rFont val="Arial"/>
        <family val="2"/>
      </rPr>
      <t>M1</t>
    </r>
    <r>
      <rPr>
        <i/>
        <sz val="12"/>
        <rFont val="Arial"/>
        <family val="2"/>
      </rPr>
      <t>)</t>
    </r>
  </si>
  <si>
    <t>Incertidumbre por certificado</t>
  </si>
  <si>
    <t>incertidumbre por resolución de la balanza</t>
  </si>
  <si>
    <t>incertidumbre por la variación de las mediciones</t>
  </si>
  <si>
    <t>Certificado</t>
  </si>
  <si>
    <t>Tipo B; rectangular</t>
  </si>
  <si>
    <t>Tipo A; normal</t>
  </si>
  <si>
    <r>
      <rPr>
        <sz val="12"/>
        <color indexed="8"/>
        <rFont val="Calibri"/>
        <family val="2"/>
      </rPr>
      <t>δ</t>
    </r>
    <r>
      <rPr>
        <i/>
        <vertAlign val="subscript"/>
        <sz val="12"/>
        <color indexed="8"/>
        <rFont val="Times New Roman"/>
        <family val="1"/>
      </rPr>
      <t>M1</t>
    </r>
  </si>
  <si>
    <t>Masa del recipiente lleno</t>
  </si>
  <si>
    <t>Incertidumbre del recipiente lleno</t>
  </si>
  <si>
    <t>Incertidumbre del recipiente vacio</t>
  </si>
  <si>
    <r>
      <t>u(</t>
    </r>
    <r>
      <rPr>
        <i/>
        <vertAlign val="subscript"/>
        <sz val="12"/>
        <rFont val="Arial"/>
        <family val="2"/>
      </rPr>
      <t>M2</t>
    </r>
    <r>
      <rPr>
        <i/>
        <sz val="12"/>
        <rFont val="Arial"/>
        <family val="2"/>
      </rPr>
      <t>)</t>
    </r>
  </si>
  <si>
    <r>
      <t>δ</t>
    </r>
    <r>
      <rPr>
        <vertAlign val="subscript"/>
        <sz val="12"/>
        <color indexed="8"/>
        <rFont val="Cambria"/>
        <family val="1"/>
      </rPr>
      <t>M2</t>
    </r>
    <r>
      <rPr>
        <vertAlign val="subscript"/>
        <sz val="12"/>
        <color indexed="8"/>
        <rFont val="Cambria"/>
        <family val="1"/>
      </rPr>
      <t xml:space="preserve"> </t>
    </r>
  </si>
  <si>
    <t>masa del recipiente vacio</t>
  </si>
  <si>
    <t>Incertidumbre de la densidad del aire</t>
  </si>
  <si>
    <t>u(t)</t>
  </si>
  <si>
    <t>u(HR)</t>
  </si>
  <si>
    <t>u(P)</t>
  </si>
  <si>
    <t>instrumento</t>
  </si>
  <si>
    <r>
      <t>u(</t>
    </r>
    <r>
      <rPr>
        <sz val="12"/>
        <rFont val="Arial"/>
        <family val="2"/>
      </rPr>
      <t>ρ</t>
    </r>
    <r>
      <rPr>
        <i/>
        <vertAlign val="subscript"/>
        <sz val="17.75"/>
        <rFont val="Arial"/>
        <family val="2"/>
      </rPr>
      <t>a</t>
    </r>
    <r>
      <rPr>
        <i/>
        <sz val="12"/>
        <rFont val="Arial"/>
        <family val="2"/>
      </rPr>
      <t>)</t>
    </r>
  </si>
  <si>
    <t>incertidumbre por ecuación</t>
  </si>
  <si>
    <t>N.D</t>
  </si>
  <si>
    <t>n.</t>
  </si>
  <si>
    <t>Densidad del aire</t>
  </si>
  <si>
    <r>
      <t>δ</t>
    </r>
    <r>
      <rPr>
        <sz val="12"/>
        <color indexed="8"/>
        <rFont val="Arial"/>
        <family val="2"/>
      </rPr>
      <t>ρ</t>
    </r>
    <r>
      <rPr>
        <vertAlign val="subscript"/>
        <sz val="19.2"/>
        <color indexed="8"/>
        <rFont val="Segoe UI Symbol"/>
        <family val="2"/>
      </rPr>
      <t>a</t>
    </r>
  </si>
  <si>
    <t>desviación Mlleno</t>
  </si>
  <si>
    <t>Promedio td</t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</si>
  <si>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/kg</t>
    </r>
  </si>
  <si>
    <t>Densidad de la pesa</t>
  </si>
  <si>
    <t>δρb</t>
  </si>
  <si>
    <t>Densidad del  agua</t>
  </si>
  <si>
    <t>δρw</t>
  </si>
  <si>
    <t>Coeficiente de dilatación cubico</t>
  </si>
  <si>
    <r>
      <t>δ</t>
    </r>
    <r>
      <rPr>
        <sz val="12"/>
        <color indexed="8"/>
        <rFont val="Arial"/>
        <family val="2"/>
      </rPr>
      <t>ᵧ</t>
    </r>
  </si>
  <si>
    <r>
      <t>1/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</si>
  <si>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Resolución en el ajuste del menisco</t>
  </si>
  <si>
    <t>δmen</t>
  </si>
  <si>
    <r>
      <t>m</t>
    </r>
    <r>
      <rPr>
        <vertAlign val="superscript"/>
        <sz val="10"/>
        <rFont val="Arial"/>
        <family val="2"/>
      </rPr>
      <t>3</t>
    </r>
  </si>
  <si>
    <t>Temperatura del agua</t>
  </si>
  <si>
    <r>
      <t>δ</t>
    </r>
    <r>
      <rPr>
        <i/>
        <sz val="12"/>
        <color indexed="8"/>
        <rFont val="Times New Roman"/>
        <family val="1"/>
      </rPr>
      <t>td</t>
    </r>
  </si>
  <si>
    <t>Incertidumbre de la temperatura del agua</t>
  </si>
  <si>
    <t>Incertidumbre por resolución de la balanza</t>
  </si>
  <si>
    <t>Incertidumbre por la variación de las mediciones</t>
  </si>
  <si>
    <t>Instrumento</t>
  </si>
  <si>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</si>
  <si>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r>
      <t>m</t>
    </r>
    <r>
      <rPr>
        <vertAlign val="superscript"/>
        <sz val="10"/>
        <rFont val="Arial"/>
        <family val="2"/>
      </rPr>
      <t>30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</si>
  <si>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</si>
  <si>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</si>
  <si>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</si>
  <si>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</t>
    </r>
  </si>
  <si>
    <r>
      <t>Incertidumbre combinada (k = 1)   m</t>
    </r>
    <r>
      <rPr>
        <b/>
        <vertAlign val="superscript"/>
        <sz val="10"/>
        <rFont val="Arial"/>
        <family val="2"/>
      </rPr>
      <t>3</t>
    </r>
  </si>
  <si>
    <t>Diametro del cuello mm:</t>
  </si>
  <si>
    <t>Altura del menisco mm:</t>
  </si>
  <si>
    <r>
      <t xml:space="preserve">Incertidumbre Expandidad </t>
    </r>
    <r>
      <rPr>
        <i/>
        <sz val="12"/>
        <rFont val="Arial"/>
        <family val="2"/>
      </rPr>
      <t>k=2</t>
    </r>
  </si>
  <si>
    <r>
      <t>Resolución</t>
    </r>
    <r>
      <rPr>
        <b/>
        <vertAlign val="superscript"/>
        <sz val="10"/>
        <rFont val="Arial"/>
        <family val="2"/>
      </rPr>
      <t xml:space="preserve"> 0</t>
    </r>
    <r>
      <rPr>
        <b/>
        <sz val="10"/>
        <rFont val="Arial"/>
        <family val="2"/>
      </rPr>
      <t>C:</t>
    </r>
  </si>
  <si>
    <r>
      <t>Coeficiente de Dilatación 1/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C:</t>
    </r>
  </si>
  <si>
    <t>Repetibilidad del proceso calibración</t>
  </si>
  <si>
    <t>δCrep</t>
  </si>
  <si>
    <t>5 mm</t>
  </si>
  <si>
    <t xml:space="preserve">10 mm </t>
  </si>
  <si>
    <t>20 mm</t>
  </si>
  <si>
    <t>30 mm</t>
  </si>
  <si>
    <t>1 mm</t>
  </si>
  <si>
    <t>Error en la posicion del menisco</t>
  </si>
  <si>
    <t>Diametros de cuello tipicos</t>
  </si>
  <si>
    <t>correccion</t>
  </si>
  <si>
    <t>correcion</t>
  </si>
  <si>
    <t>Swiss Made</t>
  </si>
  <si>
    <t>Cobos</t>
  </si>
  <si>
    <t>30000 g</t>
  </si>
  <si>
    <t>METODO GRAVIMETRICO</t>
  </si>
  <si>
    <t>C</t>
  </si>
  <si>
    <r>
      <rPr>
        <vertAlign val="superscript"/>
        <sz val="7"/>
        <rFont val="Arial"/>
        <family val="2"/>
      </rPr>
      <t>0</t>
    </r>
    <r>
      <rPr>
        <sz val="7"/>
        <rFont val="Arial"/>
        <family val="2"/>
      </rPr>
      <t>C</t>
    </r>
  </si>
  <si>
    <t>%</t>
  </si>
  <si>
    <r>
      <t>0</t>
    </r>
    <r>
      <rPr>
        <sz val="7"/>
        <rFont val="Arial"/>
        <family val="2"/>
      </rPr>
      <t>C</t>
    </r>
  </si>
  <si>
    <t>Tolerancia:</t>
  </si>
  <si>
    <t xml:space="preserve">Clase: </t>
  </si>
  <si>
    <t>Kimax</t>
  </si>
  <si>
    <t>Codigo:</t>
  </si>
  <si>
    <t>probeta</t>
  </si>
  <si>
    <t>NI-MC-MV-07</t>
  </si>
  <si>
    <t>MC-BAL-2002-2019</t>
  </si>
  <si>
    <t>MC-BAL-2003-2019</t>
  </si>
  <si>
    <t>Accumac</t>
  </si>
  <si>
    <t>ºC</t>
  </si>
  <si>
    <t>AM8060</t>
  </si>
  <si>
    <t>asdfasf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</si>
  <si>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</si>
  <si>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</si>
  <si>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</si>
  <si>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</si>
  <si>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</si>
  <si>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</si>
  <si>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</si>
  <si>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</si>
  <si>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</si>
  <si>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</si>
  <si>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</si>
  <si>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</si>
  <si>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</si>
  <si>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</si>
  <si>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</si>
  <si>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</si>
  <si>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</si>
  <si>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</si>
  <si>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</si>
  <si>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</si>
  <si>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</si>
  <si>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</si>
  <si>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</si>
  <si>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</si>
  <si>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</si>
  <si>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</si>
  <si>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</si>
  <si>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</si>
  <si>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</si>
  <si>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</si>
  <si>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</si>
  <si>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</si>
  <si>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</si>
  <si>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</si>
  <si>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</si>
  <si>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</si>
  <si>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</si>
  <si>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</si>
  <si>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</si>
  <si>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</si>
  <si>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</si>
  <si>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</si>
  <si>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</si>
  <si>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</si>
  <si>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</si>
  <si>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</si>
  <si>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</si>
  <si>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</si>
  <si>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</si>
  <si>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</si>
  <si>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</si>
  <si>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</si>
  <si>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</si>
  <si>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</si>
  <si>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</si>
  <si>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</si>
  <si>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</si>
  <si>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</si>
  <si>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</si>
  <si>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</si>
  <si>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</si>
  <si>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</si>
  <si>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</si>
  <si>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</si>
  <si>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</si>
  <si>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</si>
  <si>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</si>
  <si>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</si>
  <si>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</si>
  <si>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</si>
  <si>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</si>
  <si>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</si>
  <si>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</si>
  <si>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</si>
  <si>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</si>
  <si>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</si>
  <si>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</si>
  <si>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</si>
  <si>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</si>
  <si>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</si>
  <si>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</si>
  <si>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</si>
  <si>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</si>
  <si>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</si>
  <si>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</si>
  <si>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</si>
  <si>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</si>
  <si>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</si>
  <si>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</si>
  <si>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</si>
  <si>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</si>
  <si>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</si>
  <si>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</si>
  <si>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</si>
  <si>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</si>
  <si>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</si>
  <si>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</si>
  <si>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Instituto Mechnikov S.A.</t>
  </si>
  <si>
    <t>km 6 Carretera Norte, Managua.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</si>
  <si>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</si>
  <si>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</si>
  <si>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</si>
  <si>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</si>
  <si>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</si>
  <si>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</si>
  <si>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</si>
  <si>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</si>
  <si>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</si>
  <si>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</si>
  <si>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</si>
  <si>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</si>
  <si>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</si>
  <si>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</si>
  <si>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</si>
  <si>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</si>
  <si>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</si>
  <si>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</si>
  <si>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</si>
  <si>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</si>
  <si>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</si>
  <si>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</si>
  <si>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</si>
  <si>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</si>
  <si>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</si>
  <si>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</si>
  <si>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</si>
  <si>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</si>
  <si>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</si>
  <si>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</si>
  <si>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</si>
  <si>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</si>
  <si>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</si>
  <si>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</si>
  <si>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</si>
  <si>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</si>
  <si>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</si>
  <si>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</si>
  <si>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</si>
  <si>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</si>
  <si>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</si>
  <si>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</si>
  <si>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</si>
  <si>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</si>
  <si>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</si>
  <si>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</si>
  <si>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</si>
  <si>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</si>
  <si>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</si>
  <si>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</si>
  <si>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</si>
  <si>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</si>
  <si>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</si>
  <si>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</si>
  <si>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</si>
  <si>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</si>
  <si>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</si>
  <si>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</si>
  <si>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</si>
  <si>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</si>
  <si>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</si>
  <si>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</si>
  <si>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</si>
  <si>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</si>
  <si>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</si>
  <si>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</si>
  <si>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</si>
  <si>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</si>
  <si>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</si>
  <si>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</si>
  <si>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</si>
  <si>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</si>
  <si>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</si>
  <si>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</si>
  <si>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</si>
  <si>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</si>
  <si>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</si>
  <si>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</si>
  <si>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</si>
  <si>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</si>
  <si>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</si>
  <si>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</si>
  <si>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</si>
  <si>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</si>
  <si>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</si>
  <si>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</si>
  <si>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</si>
  <si>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km 45,5 Carretera San Marcos-Masatepe, Parque Industrial Las Palmeras</t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</si>
  <si>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</si>
  <si>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</si>
  <si>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</si>
  <si>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</si>
  <si>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</si>
  <si>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 xml:space="preserve">Fabricante/Marca: 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</si>
  <si>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</si>
  <si>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</si>
  <si>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</si>
  <si>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</si>
  <si>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</si>
  <si>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</si>
  <si>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Incertidumbre expandida k = 2</t>
  </si>
  <si>
    <t xml:space="preserve">Condiciones ambientales </t>
  </si>
  <si>
    <t>Presión atmosférica</t>
  </si>
  <si>
    <t>Temperatura: (</t>
  </si>
  <si>
    <t>±</t>
  </si>
  <si>
    <t>) °C</t>
  </si>
  <si>
    <t xml:space="preserve">Presión: </t>
  </si>
  <si>
    <t>(</t>
  </si>
  <si>
    <t>Hum R.:</t>
  </si>
  <si>
    <t>) 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</si>
  <si>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</si>
  <si>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</si>
  <si>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un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</si>
  <si>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</si>
  <si>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Observaciones</t>
  </si>
  <si>
    <t>Es responsabilidad del encargado del instrumento establecer la frecuencia del servicio de calibración.</t>
  </si>
  <si>
    <t>El error corresponde al valor de la indicación del equipo menos el valor convencional de la masa de referencia.</t>
  </si>
  <si>
    <t>Ing. Fredman A. Méndez M.</t>
  </si>
  <si>
    <t>Director Técnico</t>
  </si>
  <si>
    <t>Nulo sin sello y firma</t>
  </si>
  <si>
    <t>.................Fin del certificado................</t>
  </si>
  <si>
    <t>Código del Certificado:</t>
  </si>
  <si>
    <t>NI-MC-V-XXX-2020</t>
  </si>
  <si>
    <t>Cód de servicio:</t>
  </si>
  <si>
    <t>NI-CS-0126-20</t>
  </si>
  <si>
    <t>Objeto bajo calibración:</t>
  </si>
  <si>
    <t># de serie:</t>
  </si>
  <si>
    <t>Cap. nominal/alcance:</t>
  </si>
  <si>
    <t>División de escala:</t>
  </si>
  <si>
    <t xml:space="preserve">Volumen </t>
  </si>
  <si>
    <t>Volumen Nominal</t>
  </si>
  <si>
    <t>) Pa</t>
  </si>
  <si>
    <t>Las pruebas se realizaron utilizando el NI-MCIT-V-01 Instrucción para calibración de recipientes volumétricos por el método gravimétrico</t>
  </si>
  <si>
    <t>Juego de masas</t>
  </si>
  <si>
    <t>Código</t>
  </si>
  <si>
    <t>Zwiebel</t>
  </si>
  <si>
    <t>NI-MCPM-JM-03</t>
  </si>
  <si>
    <t>RCP-LMV-MSWS-083-19-M1 RECOPE</t>
  </si>
  <si>
    <t>Los resultados emitidos en este certificado corresponden únicamente al objeto calibrado y a las magnitudes especificadas al momento de realizar el servicio.</t>
  </si>
  <si>
    <t>Este certificado de calibración no debe ser reproducido sin la aprobación del laboratorio, excepto cuando se reproduce en su totalidad.</t>
  </si>
  <si>
    <t>Laboratorio #1 Metrocal</t>
  </si>
  <si>
    <t>Fecha de próxima calibración:</t>
  </si>
  <si>
    <t>Objeto de Calibración</t>
  </si>
  <si>
    <t>Fecha de calibración</t>
  </si>
  <si>
    <t>Código de identificación</t>
  </si>
  <si>
    <t>Identificación del certificado</t>
  </si>
  <si>
    <t>Código:</t>
  </si>
  <si>
    <t>NI-R02-MCIT-V-01</t>
  </si>
  <si>
    <t xml:space="preserve">Fecha de Aprobación: </t>
  </si>
  <si>
    <t xml:space="preserve">Versión </t>
  </si>
  <si>
    <t>Fecha de revisión:</t>
  </si>
  <si>
    <t>Realizada por:</t>
  </si>
  <si>
    <t>FM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</si>
  <si>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</si>
  <si>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</si>
  <si>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</si>
  <si>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</si>
  <si>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</si>
  <si>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</si>
  <si>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</si>
  <si>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</si>
  <si>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</si>
  <si>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</si>
  <si>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</si>
  <si>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</si>
  <si>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</si>
  <si>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</si>
  <si>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</si>
  <si>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</si>
  <si>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</si>
  <si>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</si>
  <si>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</si>
  <si>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</si>
  <si>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</si>
  <si>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</si>
  <si>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</si>
  <si>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</si>
  <si>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</si>
  <si>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</si>
  <si>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</si>
  <si>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</si>
  <si>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</si>
  <si>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</si>
  <si>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</si>
  <si>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</si>
  <si>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</si>
  <si>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</si>
  <si>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</si>
  <si>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</si>
  <si>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</si>
  <si>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</si>
  <si>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</si>
  <si>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</si>
  <si>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</si>
  <si>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</si>
  <si>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</si>
  <si>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</si>
  <si>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</si>
  <si>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</si>
  <si>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</si>
  <si>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</si>
  <si>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</si>
  <si>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</si>
  <si>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</si>
  <si>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</si>
  <si>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</si>
  <si>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</si>
  <si>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</si>
  <si>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</si>
  <si>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</si>
  <si>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</si>
  <si>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</si>
  <si>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</si>
  <si>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</si>
  <si>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</si>
  <si>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</si>
  <si>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</si>
  <si>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</si>
  <si>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</si>
  <si>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</si>
  <si>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</si>
  <si>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</si>
  <si>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</si>
  <si>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</si>
  <si>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</si>
  <si>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</si>
  <si>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</si>
  <si>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</si>
  <si>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</si>
  <si>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</si>
  <si>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</si>
  <si>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</si>
  <si>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</si>
  <si>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</si>
  <si>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</si>
  <si>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</si>
  <si>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</si>
  <si>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</si>
  <si>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</si>
  <si>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</si>
  <si>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</si>
  <si>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</si>
  <si>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</si>
  <si>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</si>
  <si>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</si>
  <si>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</si>
  <si>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</si>
  <si>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</si>
  <si>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</si>
  <si>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</si>
  <si>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</si>
  <si>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</si>
  <si>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</si>
  <si>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</si>
  <si>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</si>
  <si>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</si>
  <si>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</si>
  <si>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</si>
  <si>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</si>
  <si>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</si>
  <si>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</si>
  <si>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</si>
  <si>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</si>
  <si>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</si>
  <si>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</si>
  <si>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</si>
  <si>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</si>
  <si>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</si>
  <si>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</si>
  <si>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</si>
  <si>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</si>
  <si>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</si>
  <si>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</si>
  <si>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</si>
  <si>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</si>
  <si>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</si>
  <si>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</si>
  <si>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</si>
  <si>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</si>
  <si>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</si>
  <si>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</si>
  <si>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</si>
  <si>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</si>
  <si>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</si>
  <si>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</si>
  <si>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</si>
  <si>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</si>
  <si>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</si>
  <si>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</si>
  <si>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</si>
  <si>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</si>
  <si>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</si>
  <si>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</si>
  <si>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</si>
  <si>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</si>
  <si>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</si>
  <si>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</si>
  <si>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</si>
  <si>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</si>
  <si>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</si>
  <si>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</si>
  <si>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</si>
  <si>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</si>
  <si>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</si>
  <si>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</si>
  <si>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</si>
  <si>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</si>
  <si>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</si>
  <si>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</si>
  <si>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</si>
  <si>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</si>
  <si>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</si>
  <si>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</si>
  <si>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</si>
  <si>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</si>
  <si>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</si>
  <si>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</si>
  <si>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</si>
  <si>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</si>
  <si>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</si>
  <si>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</si>
  <si>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</si>
  <si>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</si>
  <si>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</si>
  <si>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</si>
  <si>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</si>
  <si>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</si>
  <si>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</si>
  <si>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</si>
  <si>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</si>
  <si>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</si>
  <si>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</si>
  <si>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</si>
  <si>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</si>
  <si>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</si>
  <si>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</si>
  <si>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</si>
  <si>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</si>
  <si>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</si>
  <si>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</si>
  <si>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</si>
  <si>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</si>
  <si>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</si>
  <si>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</si>
  <si>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</si>
  <si>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</si>
  <si>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</si>
  <si>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</si>
  <si>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</si>
  <si>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</si>
  <si>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</si>
  <si>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</si>
  <si>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</si>
  <si>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</si>
  <si>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</si>
  <si>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</si>
  <si>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</si>
  <si>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</si>
  <si>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</si>
  <si>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</si>
  <si>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</si>
  <si>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</si>
  <si>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</si>
  <si>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</si>
  <si>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</si>
  <si>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</si>
  <si>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</si>
  <si>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</si>
  <si>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</si>
  <si>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tabacosdelsol@gmail.com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</si>
  <si>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</si>
  <si>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</si>
  <si>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</si>
  <si>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</si>
  <si>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</si>
  <si>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</si>
  <si>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</si>
  <si>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</si>
  <si>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</si>
  <si>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</si>
  <si>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</si>
  <si>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</si>
  <si>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</si>
  <si>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</si>
  <si>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</si>
  <si>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</si>
  <si>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</si>
  <si>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</si>
  <si>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</si>
  <si>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</si>
  <si>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</si>
  <si>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</si>
  <si>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</si>
  <si>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</si>
  <si>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</si>
  <si>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</si>
  <si>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</si>
  <si>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</si>
  <si>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</si>
  <si>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</si>
  <si>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</si>
  <si>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</si>
  <si>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</si>
  <si>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</si>
  <si>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</si>
  <si>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</si>
  <si>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</si>
  <si>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</si>
  <si>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</si>
  <si>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</si>
  <si>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</si>
  <si>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</si>
  <si>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</si>
  <si>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</si>
  <si>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</si>
  <si>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</si>
  <si>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</si>
  <si>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</si>
  <si>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</si>
  <si>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</si>
  <si>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</si>
  <si>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</si>
  <si>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</si>
  <si>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</si>
  <si>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</si>
  <si>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</si>
  <si>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</si>
  <si>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</si>
  <si>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</si>
  <si>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</si>
  <si>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</si>
  <si>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</si>
  <si>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</si>
  <si>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</si>
  <si>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</si>
  <si>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</si>
  <si>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</si>
  <si>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</si>
  <si>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</si>
  <si>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</si>
  <si>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</si>
  <si>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</si>
  <si>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</si>
  <si>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</si>
  <si>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</si>
  <si>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</si>
  <si>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</si>
  <si>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</si>
  <si>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</si>
  <si>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</si>
  <si>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</si>
  <si>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</si>
  <si>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</si>
  <si>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</si>
  <si>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</si>
  <si>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</si>
  <si>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</si>
  <si>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</si>
  <si>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</si>
  <si>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</si>
  <si>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</si>
  <si>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</si>
  <si>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</si>
  <si>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</si>
  <si>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</si>
  <si>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</si>
  <si>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</si>
  <si>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</si>
  <si>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</si>
  <si>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</si>
  <si>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</si>
  <si>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</si>
  <si>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</si>
  <si>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</si>
  <si>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</si>
  <si>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</si>
  <si>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</si>
  <si>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</si>
  <si>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</si>
  <si>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</si>
  <si>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</si>
  <si>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</si>
  <si>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</si>
  <si>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</si>
  <si>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</si>
  <si>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</si>
  <si>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</si>
  <si>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</si>
  <si>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</si>
  <si>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</si>
  <si>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</si>
  <si>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</si>
  <si>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</si>
  <si>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</si>
  <si>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</si>
  <si>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</si>
  <si>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</si>
  <si>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</si>
  <si>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</si>
  <si>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</si>
  <si>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</si>
  <si>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</si>
  <si>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</si>
  <si>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</si>
  <si>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</si>
  <si>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</si>
  <si>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</si>
  <si>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</si>
  <si>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</si>
  <si>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</si>
  <si>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</si>
  <si>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</si>
  <si>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</si>
  <si>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</si>
  <si>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</si>
  <si>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</si>
  <si>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</si>
  <si>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</si>
  <si>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</si>
  <si>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</si>
  <si>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</si>
  <si>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</si>
  <si>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</si>
  <si>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</si>
  <si>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</si>
  <si>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</si>
  <si>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</si>
  <si>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</si>
  <si>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</si>
  <si>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</si>
  <si>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</si>
  <si>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</si>
  <si>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</si>
  <si>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</si>
  <si>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</si>
  <si>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</si>
  <si>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</si>
  <si>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</si>
  <si>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</si>
  <si>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</si>
  <si>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</si>
  <si>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</si>
  <si>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</si>
  <si>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</si>
  <si>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</si>
  <si>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</si>
  <si>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</si>
  <si>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</si>
  <si>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</si>
  <si>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</si>
  <si>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</si>
  <si>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</si>
  <si>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</si>
  <si>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</si>
  <si>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</si>
  <si>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</si>
  <si>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</si>
  <si>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</si>
  <si>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</si>
  <si>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</si>
  <si>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</si>
  <si>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</si>
  <si>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</si>
  <si>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</si>
  <si>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</si>
  <si>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</si>
  <si>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</si>
  <si>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</si>
  <si>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</si>
  <si>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</si>
  <si>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</si>
  <si>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</si>
  <si>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</si>
  <si>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</si>
  <si>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</si>
  <si>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</si>
  <si>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</si>
  <si>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</si>
  <si>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</si>
  <si>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</si>
  <si>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</si>
  <si>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</si>
  <si>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</si>
  <si>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</si>
  <si>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</si>
  <si>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</si>
  <si>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</si>
  <si>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</si>
  <si>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</si>
  <si>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</si>
  <si>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</si>
  <si>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</si>
  <si>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</si>
  <si>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</si>
  <si>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</si>
  <si>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</si>
  <si>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</si>
  <si>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</si>
  <si>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</si>
  <si>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</si>
  <si>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</si>
  <si>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</si>
  <si>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</si>
  <si>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</si>
  <si>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</si>
  <si>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</si>
  <si>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</si>
  <si>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</si>
  <si>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</si>
  <si>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</si>
  <si>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</si>
  <si>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</si>
  <si>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</si>
  <si>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</si>
  <si>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</si>
  <si>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</si>
  <si>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</si>
  <si>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</si>
  <si>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</si>
  <si>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</si>
  <si>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</si>
  <si>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</si>
  <si>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</si>
  <si>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</si>
  <si>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</si>
  <si>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</si>
  <si>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</si>
  <si>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</si>
  <si>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</si>
  <si>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</si>
  <si>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</si>
  <si>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</si>
  <si>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</si>
  <si>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</si>
  <si>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</si>
  <si>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</si>
  <si>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</si>
  <si>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</si>
  <si>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</si>
  <si>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</si>
  <si>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</si>
  <si>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</si>
  <si>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</si>
  <si>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</si>
  <si>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</si>
  <si>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</si>
  <si>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</si>
  <si>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</si>
  <si>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</si>
  <si>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</si>
  <si>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</si>
  <si>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</si>
  <si>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</si>
  <si>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</si>
  <si>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</si>
  <si>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</si>
  <si>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</si>
  <si>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</si>
  <si>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</si>
  <si>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</si>
  <si>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</si>
  <si>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</si>
  <si>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</si>
  <si>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</si>
  <si>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</si>
  <si>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</si>
  <si>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</si>
  <si>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</si>
  <si>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</si>
  <si>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</si>
  <si>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</si>
  <si>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</si>
  <si>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</si>
  <si>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</si>
  <si>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</si>
  <si>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</si>
  <si>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</si>
  <si>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</si>
  <si>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</si>
  <si>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mL</t>
  </si>
  <si>
    <t>CMC's Masas</t>
  </si>
  <si>
    <t>Rango</t>
  </si>
  <si>
    <t>Valor Nominal</t>
  </si>
  <si>
    <t>min.</t>
  </si>
  <si>
    <t>max.</t>
  </si>
  <si>
    <r>
      <t>a</t>
    </r>
    <r>
      <rPr>
        <vertAlign val="subscript"/>
        <sz val="11"/>
        <color indexed="8"/>
        <rFont val="Calibri"/>
        <family val="2"/>
      </rPr>
      <t>0</t>
    </r>
  </si>
  <si>
    <r>
      <t>a</t>
    </r>
    <r>
      <rPr>
        <vertAlign val="subscript"/>
        <sz val="11"/>
        <color indexed="8"/>
        <rFont val="Calibri"/>
        <family val="2"/>
      </rPr>
      <t>1</t>
    </r>
  </si>
  <si>
    <r>
      <t>a</t>
    </r>
    <r>
      <rPr>
        <vertAlign val="subscript"/>
        <sz val="11"/>
        <color indexed="8"/>
        <rFont val="Calibri"/>
        <family val="2"/>
      </rPr>
      <t>2</t>
    </r>
  </si>
  <si>
    <r>
      <t>a</t>
    </r>
    <r>
      <rPr>
        <vertAlign val="subscript"/>
        <sz val="11"/>
        <color indexed="8"/>
        <rFont val="Calibri"/>
        <family val="2"/>
      </rPr>
      <t>3</t>
    </r>
  </si>
  <si>
    <r>
      <t>a</t>
    </r>
    <r>
      <rPr>
        <vertAlign val="subscript"/>
        <sz val="11"/>
        <color indexed="8"/>
        <rFont val="Calibri"/>
        <family val="2"/>
      </rPr>
      <t>4</t>
    </r>
  </si>
  <si>
    <t>Punto #</t>
  </si>
  <si>
    <r>
      <t>U</t>
    </r>
    <r>
      <rPr>
        <i/>
        <vertAlign val="subscript"/>
        <sz val="11"/>
        <color indexed="8"/>
        <rFont val="Calibri"/>
        <family val="2"/>
      </rPr>
      <t>95</t>
    </r>
    <r>
      <rPr>
        <i/>
        <sz val="11"/>
        <color indexed="8"/>
        <rFont val="Calibri"/>
        <family val="2"/>
      </rPr>
      <t>=ku</t>
    </r>
    <r>
      <rPr>
        <i/>
        <vertAlign val="subscript"/>
        <sz val="11"/>
        <color indexed="8"/>
        <rFont val="Calibri"/>
        <family val="2"/>
      </rPr>
      <t>n</t>
    </r>
    <r>
      <rPr>
        <i/>
        <sz val="11"/>
        <color indexed="8"/>
        <rFont val="Calibri"/>
        <family val="2"/>
      </rPr>
      <t>(E)</t>
    </r>
  </si>
  <si>
    <t>CMC</t>
  </si>
  <si>
    <t>CMC min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</si>
  <si>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</si>
  <si>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</si>
  <si>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</si>
  <si>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</si>
  <si>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</si>
  <si>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</si>
  <si>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</si>
  <si>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</si>
  <si>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</si>
  <si>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</si>
  <si>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10 mL a 250 mL</t>
  </si>
  <si>
    <t>2 L a 20 L</t>
  </si>
  <si>
    <t>Expresada como función</t>
  </si>
  <si>
    <t>f(mL) = 1,25 E-04*(V)</t>
  </si>
  <si>
    <t>f(mL) = 3 E-04*(V) + 0,023</t>
  </si>
  <si>
    <t>CMC's (mL)</t>
  </si>
  <si>
    <t>Todo en [mL]</t>
  </si>
  <si>
    <t>Vc</t>
  </si>
  <si>
    <t>Valor nominal (mL)</t>
  </si>
  <si>
    <t>0,023 a 0,098</t>
  </si>
  <si>
    <t>Incertidumbre (mL)</t>
  </si>
  <si>
    <t>0,25 a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</si>
</sst>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88" formatCode="0.000000"/>
    <numFmt numFmtId="189" formatCode="0.00000"/>
    <numFmt numFmtId="190" formatCode="0.0000000"/>
    <numFmt numFmtId="191" formatCode="0.000"/>
    <numFmt numFmtId="192" formatCode="#,##0.0000000"/>
    <numFmt numFmtId="193" formatCode="0.0"/>
    <numFmt numFmtId="194" formatCode="0.00000000"/>
    <numFmt numFmtId="195" formatCode="0.0000"/>
    <numFmt numFmtId="196" formatCode="0.000000000"/>
    <numFmt numFmtId="197" formatCode="0.0E+00"/>
    <numFmt numFmtId="198" formatCode="#,##0.000"/>
    <numFmt numFmtId="199" formatCode="#,##0.00000"/>
    <numFmt numFmtId="200" formatCode="0E+00"/>
    <numFmt numFmtId="201" formatCode="0.000E+00"/>
    <numFmt numFmtId="202" formatCode="0.0000E+00"/>
    <numFmt numFmtId="203" formatCode="yyyy\-mm\-dd;@"/>
    <numFmt numFmtId="204" formatCode="\ ?0.000\ 000\ 0"/>
    <numFmt numFmtId="205" formatCode="\ ?0.\ 000\ 0"/>
    <numFmt numFmtId="206" formatCode="\ ?0.00\ "/>
    <numFmt numFmtId="207" formatCode="\ ?0.000\ 000\ "/>
    <numFmt numFmtId="208" formatCode="\ ?0\ "/>
    <numFmt numFmtId="209" formatCode="0.0000000E+00"/>
    <numFmt numFmtId="210" formatCode="\ ?0.0\ 000\ 0"/>
    <numFmt numFmtId="211" formatCode="0.000%"/>
    <numFmt numFmtId="212" formatCode="#,##0.00000000"/>
    <numFmt numFmtId="213" formatCode="0.0000000000"/>
    <numFmt numFmtId="214" formatCode="0.00000000000"/>
    <numFmt numFmtId="215" formatCode="#,##0.00;[Red]#,##0.00"/>
  </numFmts>
  <fonts count="9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name val="Calibri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b/>
      <sz val="12"/>
      <name val="Symbol"/>
      <family val="1"/>
      <charset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0"/>
      <name val="Arial"/>
      <family val="2"/>
    </font>
    <font>
      <sz val="48"/>
      <name val="Arial"/>
      <family val="2"/>
    </font>
    <font>
      <sz val="14"/>
      <name val="Arial"/>
      <family val="2"/>
    </font>
    <font>
      <b/>
      <sz val="11"/>
      <name val="Calibri"/>
      <family val="2"/>
    </font>
    <font>
      <i/>
      <sz val="12"/>
      <color indexed="8"/>
      <name val="Times New Roman"/>
      <family val="1"/>
    </font>
    <font>
      <sz val="12"/>
      <name val="Symbol"/>
      <family val="1"/>
      <charset val="2"/>
    </font>
    <font>
      <b/>
      <sz val="14"/>
      <name val="Arial"/>
      <family val="2"/>
    </font>
    <font>
      <b/>
      <i/>
      <sz val="7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vertAlign val="subscript"/>
      <sz val="12"/>
      <name val="Arial"/>
      <family val="2"/>
    </font>
    <font>
      <sz val="12"/>
      <color indexed="8"/>
      <name val="Calibri"/>
      <family val="2"/>
    </font>
    <font>
      <i/>
      <vertAlign val="subscript"/>
      <sz val="12"/>
      <color indexed="8"/>
      <name val="Times New Roman"/>
      <family val="1"/>
    </font>
    <font>
      <vertAlign val="subscript"/>
      <sz val="12"/>
      <color indexed="8"/>
      <name val="Cambria"/>
      <family val="1"/>
    </font>
    <font>
      <vertAlign val="subscript"/>
      <sz val="12"/>
      <color indexed="8"/>
      <name val="Cambria"/>
      <family val="1"/>
    </font>
    <font>
      <i/>
      <vertAlign val="subscript"/>
      <sz val="17.75"/>
      <name val="Arial"/>
      <family val="2"/>
    </font>
    <font>
      <sz val="12"/>
      <color indexed="8"/>
      <name val="Arial"/>
      <family val="2"/>
    </font>
    <font>
      <vertAlign val="subscript"/>
      <sz val="19.2"/>
      <color indexed="8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vertAlign val="superscript"/>
      <sz val="7"/>
      <name val="Arial"/>
      <family val="2"/>
    </font>
    <font>
      <vertAlign val="subscript"/>
      <sz val="11"/>
      <color indexed="8"/>
      <name val="Calibri"/>
      <family val="2"/>
    </font>
    <font>
      <i/>
      <sz val="11"/>
      <color indexed="8"/>
      <name val="Calibri"/>
      <family val="2"/>
    </font>
    <font>
      <i/>
      <vertAlign val="sub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C00000"/>
      <name val="Arial"/>
      <family val="2"/>
    </font>
    <font>
      <i/>
      <sz val="12"/>
      <color rgb="FF000000"/>
      <name val="Times New Roman"/>
      <family val="1"/>
    </font>
    <font>
      <sz val="12"/>
      <color rgb="FF000000"/>
      <name val="Segoe UI Symbol"/>
      <family val="2"/>
    </font>
    <font>
      <b/>
      <sz val="14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8"/>
      <color rgb="FF222222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rgb="FFFFFF00"/>
      <name val="Arial"/>
      <family val="2"/>
    </font>
    <font>
      <b/>
      <sz val="8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98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2" borderId="6" xfId="0" applyFont="1" applyFill="1" applyBorder="1" applyAlignment="1">
      <alignment horizontal="center"/>
    </xf>
    <xf numFmtId="0" fontId="6" fillId="3" borderId="7" xfId="0" applyFont="1" applyFill="1" applyBorder="1"/>
    <xf numFmtId="0" fontId="0" fillId="0" borderId="0" xfId="0" applyAlignment="1">
      <alignment horizontal="center"/>
    </xf>
    <xf numFmtId="189" fontId="4" fillId="0" borderId="0" xfId="0" applyNumberFormat="1" applyFont="1" applyBorder="1"/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90" fontId="3" fillId="0" borderId="0" xfId="0" applyNumberFormat="1" applyFont="1" applyBorder="1"/>
    <xf numFmtId="0" fontId="3" fillId="0" borderId="0" xfId="0" applyFont="1" applyAlignment="1">
      <alignment horizontal="center"/>
    </xf>
    <xf numFmtId="197" fontId="3" fillId="0" borderId="0" xfId="0" applyNumberFormat="1" applyFont="1"/>
    <xf numFmtId="0" fontId="3" fillId="0" borderId="10" xfId="0" applyFont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0" fillId="0" borderId="0" xfId="0" applyBorder="1"/>
    <xf numFmtId="0" fontId="2" fillId="0" borderId="0" xfId="0" applyFont="1"/>
    <xf numFmtId="2" fontId="0" fillId="4" borderId="10" xfId="0" applyNumberFormat="1" applyFill="1" applyBorder="1"/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5" fillId="2" borderId="11" xfId="0" applyFont="1" applyFill="1" applyBorder="1" applyAlignment="1"/>
    <xf numFmtId="0" fontId="5" fillId="2" borderId="12" xfId="0" applyFont="1" applyFill="1" applyBorder="1" applyAlignment="1"/>
    <xf numFmtId="0" fontId="5" fillId="2" borderId="13" xfId="0" applyFont="1" applyFill="1" applyBorder="1" applyAlignment="1">
      <alignment horizontal="center"/>
    </xf>
    <xf numFmtId="0" fontId="3" fillId="3" borderId="0" xfId="0" applyFont="1" applyFill="1" applyBorder="1"/>
    <xf numFmtId="193" fontId="66" fillId="4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200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3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200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/>
    </xf>
    <xf numFmtId="0" fontId="3" fillId="6" borderId="10" xfId="0" applyFont="1" applyFill="1" applyBorder="1"/>
    <xf numFmtId="0" fontId="0" fillId="7" borderId="10" xfId="0" applyFill="1" applyBorder="1"/>
    <xf numFmtId="0" fontId="1" fillId="0" borderId="0" xfId="0" applyFont="1"/>
    <xf numFmtId="189" fontId="0" fillId="0" borderId="0" xfId="0" applyNumberFormat="1"/>
    <xf numFmtId="0" fontId="67" fillId="4" borderId="0" xfId="0" applyFont="1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68" fillId="0" borderId="0" xfId="0" applyFont="1"/>
    <xf numFmtId="195" fontId="9" fillId="0" borderId="4" xfId="0" applyNumberFormat="1" applyFont="1" applyBorder="1"/>
    <xf numFmtId="0" fontId="0" fillId="0" borderId="10" xfId="0" applyBorder="1"/>
    <xf numFmtId="188" fontId="0" fillId="0" borderId="10" xfId="0" applyNumberFormat="1" applyBorder="1"/>
    <xf numFmtId="0" fontId="7" fillId="0" borderId="10" xfId="0" applyFont="1" applyBorder="1"/>
    <xf numFmtId="0" fontId="1" fillId="6" borderId="0" xfId="0" applyFont="1" applyFill="1"/>
    <xf numFmtId="0" fontId="0" fillId="6" borderId="0" xfId="0" applyFill="1" applyBorder="1"/>
    <xf numFmtId="0" fontId="1" fillId="0" borderId="10" xfId="0" applyFont="1" applyBorder="1"/>
    <xf numFmtId="0" fontId="0" fillId="0" borderId="0" xfId="0" applyBorder="1" applyAlignment="1"/>
    <xf numFmtId="0" fontId="2" fillId="4" borderId="10" xfId="0" applyFont="1" applyFill="1" applyBorder="1"/>
    <xf numFmtId="0" fontId="2" fillId="0" borderId="0" xfId="0" applyFont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88" fontId="2" fillId="0" borderId="0" xfId="0" applyNumberFormat="1" applyFont="1"/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20" xfId="0" quotePrefix="1" applyFont="1" applyFill="1" applyBorder="1" applyAlignment="1">
      <alignment horizontal="left"/>
    </xf>
    <xf numFmtId="0" fontId="6" fillId="3" borderId="2" xfId="0" quotePrefix="1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vertical="center"/>
    </xf>
    <xf numFmtId="195" fontId="9" fillId="0" borderId="10" xfId="0" applyNumberFormat="1" applyFont="1" applyBorder="1"/>
    <xf numFmtId="0" fontId="0" fillId="0" borderId="0" xfId="0" applyBorder="1" applyAlignment="1">
      <alignment horizontal="center" wrapText="1"/>
    </xf>
    <xf numFmtId="0" fontId="0" fillId="0" borderId="7" xfId="0" applyBorder="1" applyAlignment="1"/>
    <xf numFmtId="0" fontId="0" fillId="0" borderId="0" xfId="0" applyBorder="1" applyAlignment="1">
      <alignment wrapTex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95" fontId="9" fillId="0" borderId="0" xfId="0" applyNumberFormat="1" applyFont="1" applyBorder="1"/>
    <xf numFmtId="190" fontId="9" fillId="0" borderId="0" xfId="0" applyNumberFormat="1" applyFont="1" applyBorder="1"/>
    <xf numFmtId="0" fontId="36" fillId="0" borderId="0" xfId="0" applyFont="1" applyBorder="1" applyAlignment="1">
      <alignment vertical="center"/>
    </xf>
    <xf numFmtId="0" fontId="2" fillId="6" borderId="0" xfId="0" applyFont="1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3" fillId="6" borderId="0" xfId="0" applyFont="1" applyFill="1" applyBorder="1" applyAlignment="1"/>
    <xf numFmtId="194" fontId="9" fillId="6" borderId="0" xfId="0" applyNumberFormat="1" applyFont="1" applyFill="1" applyBorder="1"/>
    <xf numFmtId="190" fontId="9" fillId="6" borderId="0" xfId="0" applyNumberFormat="1" applyFont="1" applyFill="1" applyBorder="1"/>
    <xf numFmtId="193" fontId="9" fillId="6" borderId="0" xfId="0" applyNumberFormat="1" applyFont="1" applyFill="1" applyBorder="1" applyAlignment="1">
      <alignment horizontal="center"/>
    </xf>
    <xf numFmtId="0" fontId="65" fillId="0" borderId="10" xfId="0" applyFont="1" applyBorder="1" applyAlignment="1">
      <alignment horizontal="center" wrapText="1"/>
    </xf>
    <xf numFmtId="0" fontId="65" fillId="0" borderId="0" xfId="0" applyFont="1" applyBorder="1" applyAlignment="1">
      <alignment horizontal="center" wrapText="1"/>
    </xf>
    <xf numFmtId="11" fontId="65" fillId="0" borderId="0" xfId="0" applyNumberFormat="1" applyFont="1" applyBorder="1" applyAlignment="1"/>
    <xf numFmtId="11" fontId="65" fillId="0" borderId="10" xfId="0" applyNumberFormat="1" applyFont="1" applyBorder="1" applyAlignment="1"/>
    <xf numFmtId="0" fontId="65" fillId="0" borderId="13" xfId="0" applyFont="1" applyBorder="1" applyAlignment="1">
      <alignment vertical="center" wrapText="1"/>
    </xf>
    <xf numFmtId="0" fontId="65" fillId="0" borderId="1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89" fontId="3" fillId="6" borderId="0" xfId="0" applyNumberFormat="1" applyFont="1" applyFill="1" applyBorder="1"/>
    <xf numFmtId="0" fontId="3" fillId="6" borderId="0" xfId="0" applyFont="1" applyFill="1" applyBorder="1"/>
    <xf numFmtId="189" fontId="0" fillId="6" borderId="0" xfId="0" applyNumberFormat="1" applyFill="1"/>
    <xf numFmtId="196" fontId="0" fillId="6" borderId="0" xfId="0" applyNumberFormat="1" applyFill="1"/>
    <xf numFmtId="193" fontId="9" fillId="8" borderId="10" xfId="0" applyNumberFormat="1" applyFont="1" applyFill="1" applyBorder="1" applyAlignment="1">
      <alignment horizontal="center"/>
    </xf>
    <xf numFmtId="193" fontId="3" fillId="6" borderId="0" xfId="0" applyNumberFormat="1" applyFont="1" applyFill="1" applyBorder="1" applyAlignment="1">
      <alignment horizontal="center"/>
    </xf>
    <xf numFmtId="188" fontId="9" fillId="6" borderId="0" xfId="0" applyNumberFormat="1" applyFont="1" applyFill="1" applyBorder="1"/>
    <xf numFmtId="189" fontId="9" fillId="6" borderId="0" xfId="0" applyNumberFormat="1" applyFont="1" applyFill="1" applyBorder="1"/>
    <xf numFmtId="188" fontId="3" fillId="6" borderId="0" xfId="0" applyNumberFormat="1" applyFont="1" applyFill="1" applyBorder="1"/>
    <xf numFmtId="0" fontId="4" fillId="2" borderId="10" xfId="0" applyFont="1" applyFill="1" applyBorder="1" applyAlignment="1">
      <alignment horizontal="center"/>
    </xf>
    <xf numFmtId="0" fontId="20" fillId="0" borderId="10" xfId="0" applyFont="1" applyBorder="1"/>
    <xf numFmtId="194" fontId="0" fillId="8" borderId="10" xfId="0" applyNumberFormat="1" applyFill="1" applyBorder="1"/>
    <xf numFmtId="0" fontId="2" fillId="0" borderId="10" xfId="0" applyFont="1" applyBorder="1" applyAlignment="1">
      <alignment wrapText="1"/>
    </xf>
    <xf numFmtId="189" fontId="3" fillId="8" borderId="10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0" fillId="6" borderId="0" xfId="0" applyFont="1" applyFill="1"/>
    <xf numFmtId="11" fontId="0" fillId="6" borderId="0" xfId="0" applyNumberFormat="1" applyFill="1"/>
    <xf numFmtId="188" fontId="0" fillId="0" borderId="10" xfId="0" applyNumberForma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1" fillId="0" borderId="0" xfId="2" applyProtection="1"/>
    <xf numFmtId="0" fontId="66" fillId="0" borderId="0" xfId="2" applyFont="1" applyAlignment="1" applyProtection="1"/>
    <xf numFmtId="0" fontId="7" fillId="0" borderId="0" xfId="2" applyFont="1" applyProtection="1"/>
    <xf numFmtId="1" fontId="67" fillId="0" borderId="0" xfId="2" applyNumberFormat="1" applyFont="1" applyProtection="1"/>
    <xf numFmtId="0" fontId="11" fillId="0" borderId="0" xfId="0" applyFont="1" applyAlignment="1">
      <alignment horizontal="center" vertical="center"/>
    </xf>
    <xf numFmtId="193" fontId="0" fillId="6" borderId="0" xfId="0" applyNumberFormat="1" applyFill="1"/>
    <xf numFmtId="0" fontId="69" fillId="6" borderId="0" xfId="0" applyFont="1" applyFill="1"/>
    <xf numFmtId="0" fontId="65" fillId="0" borderId="10" xfId="0" applyFont="1" applyBorder="1" applyAlignment="1">
      <alignment horizontal="center" vertical="center" wrapText="1"/>
    </xf>
    <xf numFmtId="0" fontId="32" fillId="6" borderId="10" xfId="0" applyFont="1" applyFill="1" applyBorder="1" applyAlignment="1" applyProtection="1">
      <alignment horizontal="center" vertical="center" wrapText="1"/>
    </xf>
    <xf numFmtId="0" fontId="65" fillId="0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 applyProtection="1">
      <alignment horizontal="center" vertical="center" wrapText="1"/>
    </xf>
    <xf numFmtId="0" fontId="0" fillId="9" borderId="10" xfId="0" applyFont="1" applyFill="1" applyBorder="1"/>
    <xf numFmtId="0" fontId="70" fillId="9" borderId="10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10" fontId="0" fillId="8" borderId="10" xfId="0" applyNumberFormat="1" applyFill="1" applyBorder="1" applyAlignment="1">
      <alignment horizontal="center"/>
    </xf>
    <xf numFmtId="0" fontId="0" fillId="0" borderId="10" xfId="0" applyFont="1" applyBorder="1"/>
    <xf numFmtId="0" fontId="7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0" fillId="6" borderId="10" xfId="0" applyFont="1" applyFill="1" applyBorder="1" applyAlignment="1" applyProtection="1">
      <alignment horizontal="center" vertical="center" wrapText="1"/>
    </xf>
    <xf numFmtId="0" fontId="71" fillId="9" borderId="10" xfId="0" applyFont="1" applyFill="1" applyBorder="1" applyAlignment="1">
      <alignment horizontal="center"/>
    </xf>
    <xf numFmtId="0" fontId="0" fillId="8" borderId="10" xfId="0" applyFont="1" applyFill="1" applyBorder="1"/>
    <xf numFmtId="0" fontId="0" fillId="8" borderId="10" xfId="0" applyFont="1" applyFill="1" applyBorder="1" applyAlignment="1">
      <alignment horizontal="center"/>
    </xf>
    <xf numFmtId="0" fontId="70" fillId="0" borderId="10" xfId="0" applyFont="1" applyBorder="1" applyAlignment="1">
      <alignment horizontal="center"/>
    </xf>
    <xf numFmtId="204" fontId="33" fillId="6" borderId="10" xfId="0" applyNumberFormat="1" applyFont="1" applyFill="1" applyBorder="1" applyAlignment="1" applyProtection="1">
      <alignment horizontal="center" vertical="center" wrapText="1"/>
    </xf>
    <xf numFmtId="0" fontId="40" fillId="8" borderId="10" xfId="0" applyFont="1" applyFill="1" applyBorder="1" applyAlignment="1" applyProtection="1">
      <alignment horizontal="center" vertical="center" wrapText="1"/>
    </xf>
    <xf numFmtId="0" fontId="0" fillId="9" borderId="10" xfId="0" applyFont="1" applyFill="1" applyBorder="1" applyAlignment="1">
      <alignment horizontal="center" vertical="center"/>
    </xf>
    <xf numFmtId="1" fontId="40" fillId="6" borderId="10" xfId="0" applyNumberFormat="1" applyFont="1" applyFill="1" applyBorder="1" applyAlignment="1" applyProtection="1">
      <alignment horizontal="center" vertical="center" wrapText="1"/>
    </xf>
    <xf numFmtId="0" fontId="0" fillId="8" borderId="10" xfId="0" applyFill="1" applyBorder="1"/>
    <xf numFmtId="1" fontId="7" fillId="8" borderId="21" xfId="0" applyNumberFormat="1" applyFont="1" applyFill="1" applyBorder="1" applyAlignment="1" applyProtection="1">
      <alignment horizontal="center" vertical="center" wrapText="1"/>
    </xf>
    <xf numFmtId="1" fontId="7" fillId="8" borderId="22" xfId="0" applyNumberFormat="1" applyFont="1" applyFill="1" applyBorder="1" applyAlignment="1" applyProtection="1">
      <alignment horizontal="center" vertical="center" wrapText="1"/>
    </xf>
    <xf numFmtId="206" fontId="16" fillId="6" borderId="10" xfId="0" applyNumberFormat="1" applyFont="1" applyFill="1" applyBorder="1" applyAlignment="1" applyProtection="1">
      <alignment horizontal="center" vertical="center"/>
    </xf>
    <xf numFmtId="0" fontId="72" fillId="0" borderId="0" xfId="0" applyFont="1"/>
    <xf numFmtId="193" fontId="3" fillId="0" borderId="10" xfId="0" applyNumberFormat="1" applyFont="1" applyBorder="1" applyAlignment="1">
      <alignment horizontal="center"/>
    </xf>
    <xf numFmtId="201" fontId="9" fillId="8" borderId="10" xfId="0" applyNumberFormat="1" applyFont="1" applyFill="1" applyBorder="1"/>
    <xf numFmtId="0" fontId="7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97" fontId="9" fillId="6" borderId="0" xfId="0" applyNumberFormat="1" applyFont="1" applyFill="1" applyBorder="1"/>
    <xf numFmtId="0" fontId="47" fillId="8" borderId="10" xfId="0" applyFont="1" applyFill="1" applyBorder="1" applyAlignment="1" applyProtection="1">
      <alignment horizontal="center" vertical="center" wrapText="1"/>
    </xf>
    <xf numFmtId="0" fontId="48" fillId="8" borderId="10" xfId="0" applyFont="1" applyFill="1" applyBorder="1" applyAlignment="1" applyProtection="1">
      <alignment horizontal="center" vertical="center"/>
    </xf>
    <xf numFmtId="207" fontId="48" fillId="8" borderId="10" xfId="0" applyNumberFormat="1" applyFont="1" applyFill="1" applyBorder="1" applyAlignment="1" applyProtection="1">
      <alignment horizontal="center" vertical="center" wrapText="1"/>
    </xf>
    <xf numFmtId="0" fontId="45" fillId="8" borderId="10" xfId="0" applyFont="1" applyFill="1" applyBorder="1" applyAlignment="1" applyProtection="1">
      <alignment horizontal="center" vertical="center" wrapText="1"/>
    </xf>
    <xf numFmtId="204" fontId="48" fillId="8" borderId="10" xfId="0" applyNumberFormat="1" applyFont="1" applyFill="1" applyBorder="1" applyAlignment="1" applyProtection="1">
      <alignment horizontal="center" vertical="center" wrapText="1"/>
    </xf>
    <xf numFmtId="208" fontId="33" fillId="8" borderId="10" xfId="0" applyNumberFormat="1" applyFont="1" applyFill="1" applyBorder="1" applyAlignment="1" applyProtection="1">
      <alignment horizontal="center" vertical="center"/>
    </xf>
    <xf numFmtId="0" fontId="45" fillId="6" borderId="10" xfId="0" applyFont="1" applyFill="1" applyBorder="1" applyAlignment="1" applyProtection="1">
      <alignment vertical="center" wrapText="1"/>
    </xf>
    <xf numFmtId="0" fontId="47" fillId="6" borderId="10" xfId="0" applyFont="1" applyFill="1" applyBorder="1" applyAlignment="1" applyProtection="1">
      <alignment horizontal="center" vertical="center" wrapText="1"/>
    </xf>
    <xf numFmtId="207" fontId="48" fillId="6" borderId="10" xfId="0" applyNumberFormat="1" applyFont="1" applyFill="1" applyBorder="1" applyAlignment="1" applyProtection="1">
      <alignment horizontal="center" vertical="center" wrapText="1"/>
    </xf>
    <xf numFmtId="204" fontId="47" fillId="6" borderId="10" xfId="0" applyNumberFormat="1" applyFont="1" applyFill="1" applyBorder="1" applyAlignment="1" applyProtection="1">
      <alignment horizontal="center" vertical="center" wrapText="1"/>
    </xf>
    <xf numFmtId="204" fontId="48" fillId="6" borderId="10" xfId="0" applyNumberFormat="1" applyFont="1" applyFill="1" applyBorder="1" applyAlignment="1" applyProtection="1">
      <alignment horizontal="center" vertical="center" wrapText="1"/>
    </xf>
    <xf numFmtId="208" fontId="33" fillId="6" borderId="10" xfId="0" applyNumberFormat="1" applyFont="1" applyFill="1" applyBorder="1" applyAlignment="1" applyProtection="1">
      <alignment horizontal="center" vertical="center"/>
    </xf>
    <xf numFmtId="0" fontId="47" fillId="8" borderId="19" xfId="0" applyFont="1" applyFill="1" applyBorder="1" applyAlignment="1" applyProtection="1">
      <alignment horizontal="center" vertical="center" wrapText="1"/>
    </xf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8" fontId="33" fillId="8" borderId="19" xfId="0" applyNumberFormat="1" applyFont="1" applyFill="1" applyBorder="1" applyAlignment="1" applyProtection="1">
      <alignment horizontal="center" vertical="center"/>
    </xf>
    <xf numFmtId="0" fontId="47" fillId="8" borderId="9" xfId="0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208" fontId="33" fillId="8" borderId="9" xfId="0" applyNumberFormat="1" applyFont="1" applyFill="1" applyBorder="1" applyAlignment="1" applyProtection="1">
      <alignment horizontal="center" vertical="center"/>
    </xf>
    <xf numFmtId="1" fontId="1" fillId="8" borderId="10" xfId="0" applyNumberFormat="1" applyFont="1" applyFill="1" applyBorder="1" applyAlignment="1" applyProtection="1">
      <alignment horizontal="center"/>
    </xf>
    <xf numFmtId="0" fontId="45" fillId="8" borderId="10" xfId="0" applyFont="1" applyFill="1" applyBorder="1" applyAlignment="1" applyProtection="1">
      <alignment horizontal="center" wrapText="1"/>
    </xf>
    <xf numFmtId="0" fontId="45" fillId="8" borderId="10" xfId="0" applyFont="1" applyFill="1" applyBorder="1" applyAlignment="1" applyProtection="1">
      <alignment vertical="center" wrapText="1"/>
    </xf>
    <xf numFmtId="0" fontId="48" fillId="8" borderId="10" xfId="0" applyNumberFormat="1" applyFont="1" applyFill="1" applyBorder="1" applyAlignment="1" applyProtection="1">
      <alignment horizontal="center" vertical="center" wrapText="1"/>
    </xf>
    <xf numFmtId="0" fontId="48" fillId="6" borderId="10" xfId="0" applyNumberFormat="1" applyFont="1" applyFill="1" applyBorder="1" applyAlignment="1" applyProtection="1">
      <alignment horizontal="center" vertical="center" wrapText="1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center"/>
    </xf>
    <xf numFmtId="204" fontId="0" fillId="9" borderId="10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1" fontId="0" fillId="9" borderId="10" xfId="0" applyNumberFormat="1" applyFont="1" applyFill="1" applyBorder="1" applyAlignment="1">
      <alignment horizontal="center"/>
    </xf>
    <xf numFmtId="0" fontId="45" fillId="8" borderId="19" xfId="0" applyFont="1" applyFill="1" applyBorder="1" applyAlignment="1" applyProtection="1">
      <alignment horizontal="left" vertical="center" wrapText="1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11" fontId="0" fillId="0" borderId="10" xfId="0" applyNumberFormat="1" applyFont="1" applyBorder="1" applyAlignment="1">
      <alignment horizontal="center"/>
    </xf>
    <xf numFmtId="0" fontId="66" fillId="0" borderId="0" xfId="2" applyFont="1" applyBorder="1" applyAlignment="1" applyProtection="1"/>
    <xf numFmtId="0" fontId="1" fillId="6" borderId="0" xfId="2" applyFill="1" applyBorder="1" applyProtection="1"/>
    <xf numFmtId="0" fontId="7" fillId="6" borderId="0" xfId="2" applyFont="1" applyFill="1" applyBorder="1" applyAlignment="1" applyProtection="1">
      <alignment vertical="center" wrapText="1"/>
    </xf>
    <xf numFmtId="0" fontId="7" fillId="6" borderId="0" xfId="2" applyFont="1" applyFill="1" applyBorder="1" applyAlignment="1" applyProtection="1">
      <alignment vertical="center"/>
    </xf>
    <xf numFmtId="0" fontId="7" fillId="6" borderId="0" xfId="2" applyFont="1" applyFill="1" applyBorder="1" applyAlignment="1" applyProtection="1">
      <alignment horizontal="center" vertical="center" wrapText="1"/>
    </xf>
    <xf numFmtId="0" fontId="67" fillId="6" borderId="0" xfId="2" applyFont="1" applyFill="1" applyBorder="1" applyProtection="1"/>
    <xf numFmtId="191" fontId="1" fillId="6" borderId="0" xfId="2" applyNumberFormat="1" applyFill="1" applyBorder="1" applyProtection="1"/>
    <xf numFmtId="2" fontId="73" fillId="6" borderId="0" xfId="2" applyNumberFormat="1" applyFont="1" applyFill="1" applyBorder="1" applyProtection="1"/>
    <xf numFmtId="0" fontId="66" fillId="6" borderId="0" xfId="2" applyFont="1" applyFill="1" applyBorder="1" applyAlignment="1" applyProtection="1"/>
    <xf numFmtId="0" fontId="7" fillId="6" borderId="0" xfId="2" applyFont="1" applyFill="1" applyBorder="1" applyProtection="1"/>
    <xf numFmtId="1" fontId="67" fillId="6" borderId="0" xfId="2" applyNumberFormat="1" applyFont="1" applyFill="1" applyBorder="1" applyProtection="1"/>
    <xf numFmtId="191" fontId="74" fillId="6" borderId="0" xfId="2" applyNumberFormat="1" applyFont="1" applyFill="1" applyBorder="1" applyProtection="1"/>
    <xf numFmtId="0" fontId="45" fillId="8" borderId="10" xfId="0" applyFont="1" applyFill="1" applyBorder="1" applyAlignment="1" applyProtection="1">
      <alignment horizontal="left" vertical="center" wrapText="1"/>
    </xf>
    <xf numFmtId="204" fontId="47" fillId="8" borderId="10" xfId="0" applyNumberFormat="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2" fillId="0" borderId="10" xfId="0" applyFont="1" applyBorder="1"/>
    <xf numFmtId="193" fontId="3" fillId="8" borderId="10" xfId="0" applyNumberFormat="1" applyFont="1" applyFill="1" applyBorder="1" applyAlignment="1">
      <alignment horizontal="center"/>
    </xf>
    <xf numFmtId="11" fontId="0" fillId="9" borderId="13" xfId="0" applyNumberFormat="1" applyFont="1" applyFill="1" applyBorder="1" applyAlignment="1">
      <alignment horizontal="center"/>
    </xf>
    <xf numFmtId="11" fontId="0" fillId="0" borderId="13" xfId="0" applyNumberFormat="1" applyFont="1" applyBorder="1" applyAlignment="1">
      <alignment horizontal="center" vertical="center"/>
    </xf>
    <xf numFmtId="0" fontId="0" fillId="9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10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10" borderId="22" xfId="0" applyFont="1" applyFill="1" applyBorder="1" applyAlignment="1">
      <alignment horizontal="center"/>
    </xf>
    <xf numFmtId="206" fontId="16" fillId="6" borderId="22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1" fontId="75" fillId="9" borderId="10" xfId="0" applyNumberFormat="1" applyFont="1" applyFill="1" applyBorder="1" applyAlignment="1">
      <alignment horizontal="center"/>
    </xf>
    <xf numFmtId="0" fontId="70" fillId="8" borderId="1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2" fillId="6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center" vertical="center" wrapText="1"/>
    </xf>
    <xf numFmtId="192" fontId="8" fillId="6" borderId="0" xfId="0" applyNumberFormat="1" applyFont="1" applyFill="1" applyBorder="1"/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 applyAlignment="1"/>
    <xf numFmtId="2" fontId="6" fillId="6" borderId="0" xfId="0" applyNumberFormat="1" applyFont="1" applyFill="1"/>
    <xf numFmtId="0" fontId="6" fillId="6" borderId="0" xfId="0" applyFont="1" applyFill="1"/>
    <xf numFmtId="0" fontId="3" fillId="6" borderId="0" xfId="0" applyFont="1" applyFill="1"/>
    <xf numFmtId="191" fontId="3" fillId="6" borderId="0" xfId="0" applyNumberFormat="1" applyFont="1" applyFill="1"/>
    <xf numFmtId="0" fontId="37" fillId="6" borderId="0" xfId="0" applyFont="1" applyFill="1" applyBorder="1" applyAlignment="1"/>
    <xf numFmtId="49" fontId="8" fillId="6" borderId="0" xfId="0" applyNumberFormat="1" applyFont="1" applyFill="1" applyBorder="1" applyAlignment="1"/>
    <xf numFmtId="2" fontId="8" fillId="6" borderId="0" xfId="0" applyNumberFormat="1" applyFont="1" applyFill="1" applyBorder="1" applyAlignment="1"/>
    <xf numFmtId="49" fontId="10" fillId="6" borderId="0" xfId="0" applyNumberFormat="1" applyFont="1" applyFill="1" applyBorder="1" applyAlignment="1"/>
    <xf numFmtId="11" fontId="8" fillId="6" borderId="0" xfId="0" applyNumberFormat="1" applyFont="1" applyFill="1" applyBorder="1" applyAlignment="1"/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208" fontId="33" fillId="8" borderId="19" xfId="0" applyNumberFormat="1" applyFont="1" applyFill="1" applyBorder="1" applyAlignment="1" applyProtection="1">
      <alignment horizontal="center" vertical="center"/>
    </xf>
    <xf numFmtId="208" fontId="33" fillId="8" borderId="9" xfId="0" applyNumberFormat="1" applyFont="1" applyFill="1" applyBorder="1" applyAlignment="1" applyProtection="1">
      <alignment horizontal="center" vertical="center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0" fontId="45" fillId="8" borderId="19" xfId="0" applyFont="1" applyFill="1" applyBorder="1" applyAlignment="1" applyProtection="1">
      <alignment horizontal="left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3" fillId="6" borderId="0" xfId="0" applyFont="1" applyFill="1" applyBorder="1"/>
    <xf numFmtId="0" fontId="8" fillId="6" borderId="0" xfId="0" applyFont="1" applyFill="1" applyBorder="1" applyAlignment="1">
      <alignment horizontal="center"/>
    </xf>
    <xf numFmtId="204" fontId="0" fillId="8" borderId="10" xfId="0" applyNumberFormat="1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201" fontId="7" fillId="6" borderId="22" xfId="0" applyNumberFormat="1" applyFont="1" applyFill="1" applyBorder="1" applyAlignment="1" applyProtection="1">
      <alignment horizontal="center"/>
    </xf>
    <xf numFmtId="210" fontId="49" fillId="8" borderId="10" xfId="0" applyNumberFormat="1" applyFont="1" applyFill="1" applyBorder="1" applyAlignment="1" applyProtection="1">
      <alignment horizontal="center" vertical="center" wrapText="1"/>
    </xf>
    <xf numFmtId="205" fontId="49" fillId="8" borderId="10" xfId="0" applyNumberFormat="1" applyFont="1" applyFill="1" applyBorder="1" applyAlignment="1" applyProtection="1">
      <alignment horizontal="center" vertical="center" wrapText="1"/>
    </xf>
    <xf numFmtId="4" fontId="9" fillId="4" borderId="23" xfId="0" applyNumberFormat="1" applyFont="1" applyFill="1" applyBorder="1"/>
    <xf numFmtId="210" fontId="15" fillId="8" borderId="10" xfId="0" applyNumberFormat="1" applyFont="1" applyFill="1" applyBorder="1" applyAlignment="1" applyProtection="1">
      <alignment horizontal="center" vertical="center" wrapText="1"/>
    </xf>
    <xf numFmtId="11" fontId="0" fillId="9" borderId="10" xfId="0" applyNumberFormat="1" applyFont="1" applyFill="1" applyBorder="1" applyAlignment="1">
      <alignment horizontal="center"/>
    </xf>
    <xf numFmtId="11" fontId="0" fillId="0" borderId="10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209" fontId="9" fillId="6" borderId="0" xfId="0" applyNumberFormat="1" applyFont="1" applyFill="1" applyBorder="1"/>
    <xf numFmtId="0" fontId="4" fillId="2" borderId="24" xfId="0" applyFont="1" applyFill="1" applyBorder="1" applyAlignment="1">
      <alignment vertical="center"/>
    </xf>
    <xf numFmtId="201" fontId="9" fillId="0" borderId="10" xfId="0" applyNumberFormat="1" applyFont="1" applyBorder="1"/>
    <xf numFmtId="189" fontId="9" fillId="0" borderId="10" xfId="0" applyNumberFormat="1" applyFont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198" fontId="9" fillId="0" borderId="26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199" fontId="9" fillId="6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98" fontId="9" fillId="0" borderId="12" xfId="0" applyNumberFormat="1" applyFont="1" applyBorder="1" applyAlignment="1">
      <alignment horizontal="center"/>
    </xf>
    <xf numFmtId="4" fontId="9" fillId="4" borderId="10" xfId="0" applyNumberFormat="1" applyFont="1" applyFill="1" applyBorder="1"/>
    <xf numFmtId="189" fontId="9" fillId="0" borderId="22" xfId="0" applyNumberFormat="1" applyFont="1" applyBorder="1" applyAlignment="1">
      <alignment horizontal="center"/>
    </xf>
    <xf numFmtId="0" fontId="5" fillId="6" borderId="0" xfId="0" applyFont="1" applyFill="1" applyBorder="1" applyAlignment="1"/>
    <xf numFmtId="0" fontId="44" fillId="6" borderId="0" xfId="2" applyFont="1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191" fontId="1" fillId="6" borderId="0" xfId="2" applyNumberFormat="1" applyFill="1" applyBorder="1" applyAlignment="1" applyProtection="1">
      <alignment horizontal="center" vertical="center"/>
    </xf>
    <xf numFmtId="2" fontId="73" fillId="6" borderId="0" xfId="2" applyNumberFormat="1" applyFont="1" applyFill="1" applyBorder="1" applyAlignment="1" applyProtection="1">
      <alignment vertical="center"/>
    </xf>
    <xf numFmtId="2" fontId="74" fillId="6" borderId="0" xfId="2" applyNumberFormat="1" applyFont="1" applyFill="1" applyBorder="1" applyProtection="1"/>
    <xf numFmtId="1" fontId="67" fillId="6" borderId="0" xfId="2" applyNumberFormat="1" applyFont="1" applyFill="1" applyBorder="1" applyAlignment="1" applyProtection="1">
      <alignment horizontal="left"/>
    </xf>
    <xf numFmtId="0" fontId="0" fillId="9" borderId="10" xfId="0" applyFont="1" applyFill="1" applyBorder="1" applyAlignment="1">
      <alignment wrapText="1"/>
    </xf>
    <xf numFmtId="0" fontId="0" fillId="8" borderId="10" xfId="0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/>
    </xf>
    <xf numFmtId="211" fontId="0" fillId="8" borderId="10" xfId="0" applyNumberForma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91" fontId="67" fillId="6" borderId="0" xfId="2" applyNumberFormat="1" applyFont="1" applyFill="1" applyBorder="1" applyAlignment="1" applyProtection="1">
      <alignment horizontal="left"/>
    </xf>
    <xf numFmtId="0" fontId="68" fillId="6" borderId="10" xfId="0" applyFont="1" applyFill="1" applyBorder="1" applyAlignment="1">
      <alignment horizontal="center" vertical="center"/>
    </xf>
    <xf numFmtId="0" fontId="68" fillId="6" borderId="10" xfId="2" applyFont="1" applyFill="1" applyBorder="1" applyAlignment="1" applyProtection="1">
      <alignment horizontal="center" vertical="center"/>
    </xf>
    <xf numFmtId="2" fontId="68" fillId="6" borderId="10" xfId="2" applyNumberFormat="1" applyFont="1" applyFill="1" applyBorder="1" applyAlignment="1" applyProtection="1">
      <alignment horizontal="center" vertical="center"/>
    </xf>
    <xf numFmtId="191" fontId="68" fillId="6" borderId="10" xfId="2" applyNumberFormat="1" applyFont="1" applyFill="1" applyBorder="1" applyAlignment="1" applyProtection="1">
      <alignment horizontal="center" vertical="center"/>
    </xf>
    <xf numFmtId="0" fontId="68" fillId="6" borderId="10" xfId="2" applyFont="1" applyFill="1" applyBorder="1" applyAlignment="1" applyProtection="1">
      <alignment horizontal="center"/>
    </xf>
    <xf numFmtId="191" fontId="68" fillId="6" borderId="0" xfId="2" applyNumberFormat="1" applyFont="1" applyFill="1" applyBorder="1" applyAlignment="1" applyProtection="1">
      <alignment horizontal="center" vertical="center"/>
    </xf>
    <xf numFmtId="0" fontId="68" fillId="6" borderId="0" xfId="0" applyFont="1" applyFill="1" applyBorder="1" applyAlignment="1">
      <alignment horizontal="center" vertical="center"/>
    </xf>
    <xf numFmtId="49" fontId="68" fillId="6" borderId="0" xfId="0" applyNumberFormat="1" applyFont="1" applyFill="1" applyBorder="1" applyAlignment="1">
      <alignment horizontal="center"/>
    </xf>
    <xf numFmtId="0" fontId="7" fillId="0" borderId="10" xfId="2" applyFont="1" applyBorder="1" applyAlignment="1" applyProtection="1">
      <alignment horizontal="center" wrapText="1"/>
    </xf>
    <xf numFmtId="0" fontId="60" fillId="0" borderId="0" xfId="0" applyFont="1" applyBorder="1" applyAlignment="1"/>
    <xf numFmtId="0" fontId="60" fillId="6" borderId="0" xfId="0" applyFont="1" applyFill="1" applyBorder="1" applyAlignment="1"/>
    <xf numFmtId="0" fontId="68" fillId="6" borderId="10" xfId="2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wrapText="1"/>
    </xf>
    <xf numFmtId="0" fontId="7" fillId="0" borderId="0" xfId="2" applyFont="1" applyBorder="1" applyAlignment="1" applyProtection="1">
      <alignment horizontal="center" wrapText="1"/>
    </xf>
    <xf numFmtId="1" fontId="68" fillId="6" borderId="0" xfId="2" applyNumberFormat="1" applyFont="1" applyFill="1" applyBorder="1" applyAlignment="1" applyProtection="1">
      <alignment horizontal="right" vertical="center"/>
    </xf>
    <xf numFmtId="1" fontId="68" fillId="6" borderId="0" xfId="0" applyNumberFormat="1" applyFont="1" applyFill="1" applyBorder="1" applyAlignment="1">
      <alignment horizontal="right" vertical="center"/>
    </xf>
    <xf numFmtId="201" fontId="0" fillId="0" borderId="10" xfId="0" applyNumberFormat="1" applyFont="1" applyBorder="1" applyAlignment="1">
      <alignment horizontal="center"/>
    </xf>
    <xf numFmtId="202" fontId="9" fillId="0" borderId="10" xfId="0" applyNumberFormat="1" applyFont="1" applyBorder="1"/>
    <xf numFmtId="212" fontId="9" fillId="4" borderId="23" xfId="0" applyNumberFormat="1" applyFont="1" applyFill="1" applyBorder="1"/>
    <xf numFmtId="213" fontId="9" fillId="0" borderId="10" xfId="0" applyNumberFormat="1" applyFont="1" applyBorder="1" applyAlignment="1">
      <alignment horizontal="center"/>
    </xf>
    <xf numFmtId="10" fontId="0" fillId="8" borderId="10" xfId="0" applyNumberFormat="1" applyFill="1" applyBorder="1" applyAlignment="1">
      <alignment horizontal="center" vertical="center"/>
    </xf>
    <xf numFmtId="191" fontId="0" fillId="0" borderId="0" xfId="0" applyNumberFormat="1"/>
    <xf numFmtId="201" fontId="3" fillId="0" borderId="0" xfId="0" applyNumberFormat="1" applyFont="1"/>
    <xf numFmtId="194" fontId="67" fillId="6" borderId="0" xfId="2" applyNumberFormat="1" applyFont="1" applyFill="1" applyBorder="1" applyProtection="1"/>
    <xf numFmtId="188" fontId="74" fillId="6" borderId="0" xfId="2" applyNumberFormat="1" applyFont="1" applyFill="1" applyBorder="1" applyProtection="1"/>
    <xf numFmtId="214" fontId="3" fillId="0" borderId="0" xfId="0" applyNumberFormat="1" applyFont="1"/>
    <xf numFmtId="0" fontId="0" fillId="8" borderId="0" xfId="0" applyFill="1"/>
    <xf numFmtId="0" fontId="61" fillId="8" borderId="10" xfId="0" applyFont="1" applyFill="1" applyBorder="1" applyAlignment="1" applyProtection="1">
      <alignment horizontal="center" vertical="center" wrapText="1"/>
    </xf>
    <xf numFmtId="0" fontId="0" fillId="6" borderId="2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0" xfId="2"/>
    <xf numFmtId="0" fontId="7" fillId="0" borderId="10" xfId="2" applyFont="1" applyBorder="1" applyAlignment="1">
      <alignment vertical="center" wrapText="1"/>
    </xf>
    <xf numFmtId="0" fontId="7" fillId="0" borderId="10" xfId="2" applyFont="1" applyBorder="1" applyAlignment="1">
      <alignment vertical="center"/>
    </xf>
    <xf numFmtId="0" fontId="7" fillId="0" borderId="10" xfId="2" applyFont="1" applyBorder="1" applyAlignment="1">
      <alignment horizontal="center" vertical="center" wrapText="1"/>
    </xf>
    <xf numFmtId="0" fontId="67" fillId="0" borderId="10" xfId="2" applyFont="1" applyBorder="1"/>
    <xf numFmtId="0" fontId="1" fillId="0" borderId="10" xfId="2" applyBorder="1"/>
    <xf numFmtId="191" fontId="1" fillId="0" borderId="10" xfId="2" applyNumberFormat="1" applyBorder="1"/>
    <xf numFmtId="2" fontId="73" fillId="4" borderId="10" xfId="2" applyNumberFormat="1" applyFont="1" applyFill="1" applyBorder="1"/>
    <xf numFmtId="191" fontId="1" fillId="11" borderId="10" xfId="2" applyNumberFormat="1" applyFill="1" applyBorder="1"/>
    <xf numFmtId="0" fontId="66" fillId="0" borderId="0" xfId="2" applyFont="1"/>
    <xf numFmtId="0" fontId="7" fillId="0" borderId="0" xfId="2" applyFont="1"/>
    <xf numFmtId="1" fontId="67" fillId="0" borderId="0" xfId="2" applyNumberFormat="1" applyFont="1"/>
    <xf numFmtId="191" fontId="74" fillId="4" borderId="10" xfId="2" applyNumberFormat="1" applyFont="1" applyFill="1" applyBorder="1"/>
    <xf numFmtId="191" fontId="74" fillId="4" borderId="10" xfId="2" applyNumberFormat="1" applyFont="1" applyFill="1" applyBorder="1" applyAlignment="1">
      <alignment horizontal="center"/>
    </xf>
    <xf numFmtId="195" fontId="74" fillId="4" borderId="10" xfId="2" applyNumberFormat="1" applyFont="1" applyFill="1" applyBorder="1"/>
    <xf numFmtId="189" fontId="74" fillId="4" borderId="10" xfId="2" applyNumberFormat="1" applyFont="1" applyFill="1" applyBorder="1"/>
    <xf numFmtId="193" fontId="74" fillId="4" borderId="10" xfId="2" applyNumberFormat="1" applyFont="1" applyFill="1" applyBorder="1"/>
    <xf numFmtId="2" fontId="74" fillId="4" borderId="10" xfId="2" applyNumberFormat="1" applyFont="1" applyFill="1" applyBorder="1"/>
    <xf numFmtId="2" fontId="1" fillId="0" borderId="10" xfId="2" applyNumberFormat="1" applyBorder="1"/>
    <xf numFmtId="0" fontId="1" fillId="0" borderId="10" xfId="2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2" fontId="1" fillId="11" borderId="10" xfId="2" applyNumberFormat="1" applyFill="1" applyBorder="1"/>
    <xf numFmtId="2" fontId="73" fillId="4" borderId="10" xfId="2" applyNumberFormat="1" applyFont="1" applyFill="1" applyBorder="1" applyAlignment="1">
      <alignment horizontal="center" vertical="center"/>
    </xf>
    <xf numFmtId="2" fontId="1" fillId="11" borderId="10" xfId="2" applyNumberFormat="1" applyFill="1" applyBorder="1" applyAlignment="1">
      <alignment horizontal="center" vertical="center"/>
    </xf>
    <xf numFmtId="0" fontId="76" fillId="12" borderId="10" xfId="2" applyFont="1" applyFill="1" applyBorder="1" applyAlignment="1">
      <alignment horizontal="center"/>
    </xf>
    <xf numFmtId="0" fontId="76" fillId="12" borderId="10" xfId="2" applyFont="1" applyFill="1" applyBorder="1"/>
    <xf numFmtId="3" fontId="1" fillId="0" borderId="10" xfId="2" applyNumberFormat="1" applyBorder="1"/>
    <xf numFmtId="1" fontId="1" fillId="0" borderId="10" xfId="2" applyNumberFormat="1" applyBorder="1"/>
    <xf numFmtId="4" fontId="73" fillId="4" borderId="10" xfId="2" applyNumberFormat="1" applyFont="1" applyFill="1" applyBorder="1"/>
    <xf numFmtId="1" fontId="1" fillId="11" borderId="10" xfId="2" applyNumberFormat="1" applyFill="1" applyBorder="1"/>
    <xf numFmtId="3" fontId="76" fillId="12" borderId="10" xfId="2" applyNumberFormat="1" applyFont="1" applyFill="1" applyBorder="1" applyAlignment="1">
      <alignment horizontal="center"/>
    </xf>
    <xf numFmtId="0" fontId="3" fillId="6" borderId="10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5" fillId="2" borderId="11" xfId="0" applyFont="1" applyFill="1" applyBorder="1" applyAlignment="1" applyProtection="1">
      <protection locked="0"/>
    </xf>
    <xf numFmtId="0" fontId="5" fillId="2" borderId="12" xfId="0" applyFont="1" applyFill="1" applyBorder="1" applyAlignment="1" applyProtection="1"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  <protection locked="0"/>
    </xf>
    <xf numFmtId="0" fontId="3" fillId="3" borderId="20" xfId="0" quotePrefix="1" applyFont="1" applyFill="1" applyBorder="1" applyAlignment="1" applyProtection="1">
      <alignment horizontal="left"/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6" fillId="3" borderId="7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3" fillId="6" borderId="10" xfId="0" quotePrefix="1" applyFont="1" applyFill="1" applyBorder="1" applyAlignment="1" applyProtection="1">
      <alignment horizontal="center"/>
      <protection locked="0"/>
    </xf>
    <xf numFmtId="2" fontId="66" fillId="4" borderId="7" xfId="0" applyNumberFormat="1" applyFont="1" applyFill="1" applyBorder="1" applyAlignment="1" applyProtection="1">
      <alignment horizontal="center"/>
      <protection locked="0"/>
    </xf>
    <xf numFmtId="2" fontId="66" fillId="4" borderId="10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Protection="1">
      <protection locked="0"/>
    </xf>
    <xf numFmtId="2" fontId="66" fillId="4" borderId="0" xfId="0" applyNumberFormat="1" applyFont="1" applyFill="1" applyBorder="1" applyAlignment="1" applyProtection="1">
      <alignment horizontal="center"/>
      <protection locked="0"/>
    </xf>
    <xf numFmtId="2" fontId="66" fillId="4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66" fillId="4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6" borderId="27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7" fillId="0" borderId="28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7" fillId="0" borderId="28" xfId="0" applyFont="1" applyBorder="1" applyAlignment="1" applyProtection="1">
      <alignment horizontal="left" wrapText="1"/>
      <protection locked="0"/>
    </xf>
    <xf numFmtId="0" fontId="7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7" fillId="6" borderId="28" xfId="0" applyFont="1" applyFill="1" applyBorder="1" applyAlignment="1" applyProtection="1">
      <alignment horizontal="left" wrapText="1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alignment horizontal="left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7" fillId="6" borderId="31" xfId="0" applyFont="1" applyFill="1" applyBorder="1" applyAlignment="1" applyProtection="1">
      <alignment horizontal="left"/>
      <protection locked="0"/>
    </xf>
    <xf numFmtId="0" fontId="44" fillId="6" borderId="31" xfId="0" applyFont="1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4" fontId="0" fillId="0" borderId="0" xfId="0" applyNumberForma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3" fillId="6" borderId="10" xfId="0" applyFont="1" applyFill="1" applyBorder="1" applyAlignment="1" applyProtection="1">
      <alignment horizontal="center"/>
    </xf>
    <xf numFmtId="195" fontId="9" fillId="13" borderId="9" xfId="0" applyNumberFormat="1" applyFont="1" applyFill="1" applyBorder="1" applyAlignment="1" applyProtection="1">
      <alignment horizontal="center"/>
      <protection locked="0"/>
    </xf>
    <xf numFmtId="195" fontId="9" fillId="0" borderId="9" xfId="0" applyNumberFormat="1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4" fillId="0" borderId="0" xfId="0" applyFont="1"/>
    <xf numFmtId="0" fontId="74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0" fontId="77" fillId="0" borderId="0" xfId="0" applyFont="1" applyAlignment="1">
      <alignment vertical="center"/>
    </xf>
    <xf numFmtId="203" fontId="74" fillId="0" borderId="0" xfId="0" applyNumberFormat="1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 wrapText="1"/>
    </xf>
    <xf numFmtId="193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1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top" wrapText="1"/>
    </xf>
    <xf numFmtId="0" fontId="77" fillId="0" borderId="0" xfId="0" applyFont="1" applyAlignment="1">
      <alignment horizontal="left" indent="1"/>
    </xf>
    <xf numFmtId="0" fontId="78" fillId="0" borderId="10" xfId="0" applyFont="1" applyBorder="1" applyAlignment="1">
      <alignment vertical="center"/>
    </xf>
    <xf numFmtId="0" fontId="74" fillId="0" borderId="0" xfId="0" applyFont="1" applyAlignment="1">
      <alignment horizontal="center"/>
    </xf>
    <xf numFmtId="14" fontId="77" fillId="0" borderId="0" xfId="0" applyNumberFormat="1" applyFont="1" applyAlignment="1">
      <alignment vertical="center"/>
    </xf>
    <xf numFmtId="0" fontId="7" fillId="0" borderId="28" xfId="0" applyFont="1" applyBorder="1" applyAlignment="1" applyProtection="1">
      <alignment horizontal="left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7" fillId="6" borderId="28" xfId="0" applyFont="1" applyFill="1" applyBorder="1" applyAlignment="1" applyProtection="1">
      <alignment horizontal="left" vertical="center" wrapText="1"/>
      <protection locked="0"/>
    </xf>
    <xf numFmtId="0" fontId="7" fillId="0" borderId="33" xfId="0" applyFont="1" applyBorder="1" applyAlignment="1" applyProtection="1">
      <alignment horizontal="right"/>
      <protection locked="0"/>
    </xf>
    <xf numFmtId="14" fontId="0" fillId="0" borderId="34" xfId="0" applyNumberFormat="1" applyBorder="1" applyProtection="1">
      <protection locked="0"/>
    </xf>
    <xf numFmtId="0" fontId="7" fillId="0" borderId="34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7" fillId="0" borderId="28" xfId="0" applyFont="1" applyBorder="1" applyProtection="1"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4" fontId="77" fillId="0" borderId="0" xfId="0" applyNumberFormat="1" applyFont="1" applyAlignment="1">
      <alignment horizontal="left" indent="1"/>
    </xf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 applyAlignment="1">
      <alignment horizontal="left" vertical="center"/>
    </xf>
    <xf numFmtId="0" fontId="78" fillId="0" borderId="10" xfId="0" applyFont="1" applyBorder="1" applyAlignment="1">
      <alignment vertical="center"/>
    </xf>
    <xf numFmtId="0" fontId="74" fillId="0" borderId="0" xfId="0" applyFont="1" applyAlignment="1">
      <alignment horizontal="left" vertical="center" wrapText="1"/>
    </xf>
    <xf numFmtId="0" fontId="74" fillId="0" borderId="0" xfId="0" applyFont="1" applyAlignment="1">
      <alignment vertical="center" wrapText="1"/>
    </xf>
    <xf numFmtId="49" fontId="0" fillId="0" borderId="0" xfId="0" applyNumberFormat="1"/>
    <xf numFmtId="49" fontId="65" fillId="14" borderId="10" xfId="0" applyNumberFormat="1" applyFont="1" applyFill="1" applyBorder="1" applyAlignment="1">
      <alignment horizontal="center" vertical="center"/>
    </xf>
    <xf numFmtId="49" fontId="65" fillId="14" borderId="10" xfId="0" applyNumberFormat="1" applyFont="1" applyFill="1" applyBorder="1" applyAlignment="1">
      <alignment vertical="center"/>
    </xf>
    <xf numFmtId="0" fontId="7" fillId="0" borderId="10" xfId="0" applyNumberFormat="1" applyFont="1" applyBorder="1" applyAlignment="1">
      <alignment horizontal="center"/>
    </xf>
    <xf numFmtId="203" fontId="7" fillId="0" borderId="10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74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 wrapText="1"/>
    </xf>
    <xf numFmtId="203" fontId="0" fillId="0" borderId="0" xfId="0" applyNumberFormat="1" applyAlignment="1">
      <alignment horizontal="center"/>
    </xf>
    <xf numFmtId="0" fontId="79" fillId="0" borderId="0" xfId="0" applyFont="1" applyFill="1" applyProtection="1">
      <protection locked="0"/>
    </xf>
    <xf numFmtId="0" fontId="80" fillId="15" borderId="0" xfId="0" applyFont="1" applyFill="1" applyAlignment="1" applyProtection="1">
      <alignment horizontal="center"/>
      <protection locked="0"/>
    </xf>
    <xf numFmtId="0" fontId="80" fillId="15" borderId="0" xfId="0" applyFont="1" applyFill="1" applyAlignment="1" applyProtection="1">
      <alignment horizontal="left" vertical="center" wrapText="1"/>
      <protection locked="0"/>
    </xf>
    <xf numFmtId="0" fontId="74" fillId="0" borderId="0" xfId="0" applyFont="1" applyFill="1" applyAlignment="1" applyProtection="1">
      <alignment horizontal="center" vertical="center"/>
      <protection locked="0"/>
    </xf>
    <xf numFmtId="0" fontId="74" fillId="0" borderId="0" xfId="0" applyFont="1" applyFill="1" applyAlignment="1" applyProtection="1">
      <alignment horizontal="left" vertical="center" wrapText="1"/>
      <protection locked="0"/>
    </xf>
    <xf numFmtId="0" fontId="74" fillId="0" borderId="0" xfId="0" applyFont="1" applyFill="1" applyAlignment="1" applyProtection="1">
      <alignment horizontal="left" vertical="center"/>
      <protection locked="0"/>
    </xf>
    <xf numFmtId="0" fontId="74" fillId="0" borderId="0" xfId="0" applyFont="1" applyFill="1" applyAlignment="1" applyProtection="1">
      <alignment horizontal="left" vertical="top"/>
      <protection locked="0"/>
    </xf>
    <xf numFmtId="0" fontId="74" fillId="0" borderId="0" xfId="0" applyFont="1" applyAlignment="1" applyProtection="1">
      <alignment horizontal="left" vertical="center" wrapText="1"/>
      <protection locked="0"/>
    </xf>
    <xf numFmtId="0" fontId="81" fillId="0" borderId="0" xfId="1" applyFont="1" applyAlignment="1" applyProtection="1"/>
    <xf numFmtId="0" fontId="74" fillId="0" borderId="0" xfId="0" applyFont="1" applyFill="1" applyAlignment="1" applyProtection="1">
      <alignment vertical="center" wrapText="1"/>
      <protection locked="0"/>
    </xf>
    <xf numFmtId="0" fontId="82" fillId="0" borderId="0" xfId="0" applyFont="1" applyAlignment="1">
      <alignment vertical="center"/>
    </xf>
    <xf numFmtId="3" fontId="7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</xf>
    <xf numFmtId="0" fontId="0" fillId="16" borderId="0" xfId="0" applyFill="1"/>
    <xf numFmtId="0" fontId="83" fillId="0" borderId="0" xfId="0" applyFont="1"/>
    <xf numFmtId="0" fontId="84" fillId="16" borderId="0" xfId="0" applyFont="1" applyFill="1"/>
    <xf numFmtId="0" fontId="65" fillId="4" borderId="0" xfId="0" applyFont="1" applyFill="1"/>
    <xf numFmtId="0" fontId="0" fillId="4" borderId="0" xfId="0" applyFill="1"/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/>
    <xf numFmtId="11" fontId="0" fillId="0" borderId="10" xfId="0" applyNumberFormat="1" applyBorder="1"/>
    <xf numFmtId="0" fontId="83" fillId="0" borderId="0" xfId="0" applyFont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85" fillId="18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13" borderId="10" xfId="0" applyNumberFormat="1" applyFill="1" applyBorder="1" applyAlignment="1">
      <alignment horizontal="right" vertical="center"/>
    </xf>
    <xf numFmtId="4" fontId="0" fillId="13" borderId="10" xfId="0" applyNumberFormat="1" applyFill="1" applyBorder="1" applyAlignment="1">
      <alignment horizontal="right" vertical="center"/>
    </xf>
    <xf numFmtId="2" fontId="0" fillId="13" borderId="10" xfId="0" applyNumberFormat="1" applyFill="1" applyBorder="1" applyAlignment="1">
      <alignment horizontal="right" vertical="center"/>
    </xf>
    <xf numFmtId="49" fontId="0" fillId="0" borderId="0" xfId="0" applyNumberFormat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203" fontId="0" fillId="0" borderId="34" xfId="0" applyNumberFormat="1" applyBorder="1" applyAlignment="1" applyProtection="1">
      <alignment horizontal="left"/>
      <protection locked="0"/>
    </xf>
    <xf numFmtId="0" fontId="83" fillId="0" borderId="0" xfId="0" applyFont="1" applyBorder="1" applyAlignment="1">
      <alignment vertical="center"/>
    </xf>
    <xf numFmtId="0" fontId="83" fillId="4" borderId="35" xfId="0" applyFont="1" applyFill="1" applyBorder="1" applyAlignment="1">
      <alignment horizontal="center" vertical="center" wrapText="1"/>
    </xf>
    <xf numFmtId="0" fontId="83" fillId="4" borderId="35" xfId="0" applyFont="1" applyFill="1" applyBorder="1" applyAlignment="1">
      <alignment vertical="center"/>
    </xf>
    <xf numFmtId="0" fontId="64" fillId="18" borderId="10" xfId="0" applyFont="1" applyFill="1" applyBorder="1" applyAlignment="1">
      <alignment horizontal="center" vertical="center"/>
    </xf>
    <xf numFmtId="198" fontId="0" fillId="13" borderId="10" xfId="0" applyNumberFormat="1" applyFill="1" applyBorder="1" applyAlignment="1">
      <alignment horizontal="right" vertical="center"/>
    </xf>
    <xf numFmtId="191" fontId="0" fillId="13" borderId="10" xfId="0" applyNumberFormat="1" applyFill="1" applyBorder="1" applyAlignment="1">
      <alignment horizontal="right" vertical="center"/>
    </xf>
    <xf numFmtId="0" fontId="83" fillId="4" borderId="51" xfId="0" applyFont="1" applyFill="1" applyBorder="1" applyAlignment="1">
      <alignment vertical="center"/>
    </xf>
    <xf numFmtId="0" fontId="83" fillId="4" borderId="30" xfId="0" applyFont="1" applyFill="1" applyBorder="1" applyAlignment="1">
      <alignment vertical="center"/>
    </xf>
    <xf numFmtId="0" fontId="83" fillId="4" borderId="51" xfId="0" applyFont="1" applyFill="1" applyBorder="1" applyAlignment="1">
      <alignment horizontal="center" vertical="center"/>
    </xf>
    <xf numFmtId="0" fontId="83" fillId="13" borderId="10" xfId="0" applyFont="1" applyFill="1" applyBorder="1" applyAlignment="1">
      <alignment horizontal="center" vertical="center"/>
    </xf>
    <xf numFmtId="0" fontId="83" fillId="13" borderId="10" xfId="0" applyFont="1" applyFill="1" applyBorder="1" applyAlignment="1">
      <alignment vertical="center"/>
    </xf>
    <xf numFmtId="191" fontId="83" fillId="13" borderId="10" xfId="0" applyNumberFormat="1" applyFont="1" applyFill="1" applyBorder="1" applyAlignment="1">
      <alignment horizontal="center" vertical="center"/>
    </xf>
    <xf numFmtId="3" fontId="83" fillId="13" borderId="10" xfId="0" applyNumberFormat="1" applyFont="1" applyFill="1" applyBorder="1" applyAlignment="1">
      <alignment vertical="center"/>
    </xf>
    <xf numFmtId="0" fontId="3" fillId="3" borderId="39" xfId="0" applyFont="1" applyFill="1" applyBorder="1" applyAlignment="1" applyProtection="1">
      <alignment horizontal="left"/>
      <protection locked="0"/>
    </xf>
    <xf numFmtId="0" fontId="3" fillId="3" borderId="40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protection locked="0"/>
    </xf>
    <xf numFmtId="0" fontId="3" fillId="0" borderId="22" xfId="0" applyFont="1" applyBorder="1" applyAlignment="1" applyProtection="1">
      <protection locked="0"/>
    </xf>
    <xf numFmtId="0" fontId="8" fillId="0" borderId="21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0" fontId="6" fillId="3" borderId="38" xfId="0" quotePrefix="1" applyFont="1" applyFill="1" applyBorder="1" applyAlignment="1" applyProtection="1">
      <alignment horizontal="left"/>
      <protection locked="0"/>
    </xf>
    <xf numFmtId="0" fontId="6" fillId="3" borderId="22" xfId="0" quotePrefix="1" applyFont="1" applyFill="1" applyBorder="1" applyAlignment="1" applyProtection="1">
      <alignment horizontal="left"/>
      <protection locked="0"/>
    </xf>
    <xf numFmtId="201" fontId="9" fillId="0" borderId="19" xfId="0" applyNumberFormat="1" applyFont="1" applyBorder="1" applyAlignment="1" applyProtection="1">
      <alignment horizontal="center" vertical="center"/>
    </xf>
    <xf numFmtId="201" fontId="9" fillId="0" borderId="36" xfId="0" applyNumberFormat="1" applyFont="1" applyBorder="1" applyAlignment="1" applyProtection="1">
      <alignment horizontal="center" vertical="center"/>
    </xf>
    <xf numFmtId="201" fontId="9" fillId="0" borderId="9" xfId="0" applyNumberFormat="1" applyFont="1" applyBorder="1" applyAlignment="1" applyProtection="1">
      <alignment horizontal="center" vertical="center"/>
    </xf>
    <xf numFmtId="191" fontId="9" fillId="0" borderId="19" xfId="0" applyNumberFormat="1" applyFont="1" applyBorder="1" applyAlignment="1" applyProtection="1">
      <alignment horizontal="center" vertical="center"/>
    </xf>
    <xf numFmtId="191" fontId="9" fillId="0" borderId="36" xfId="0" applyNumberFormat="1" applyFont="1" applyBorder="1" applyAlignment="1" applyProtection="1">
      <alignment horizontal="center" vertical="center"/>
    </xf>
    <xf numFmtId="191" fontId="9" fillId="0" borderId="9" xfId="0" applyNumberFormat="1" applyFont="1" applyBorder="1" applyAlignment="1" applyProtection="1">
      <alignment horizontal="center" vertical="center"/>
    </xf>
    <xf numFmtId="0" fontId="3" fillId="6" borderId="1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0" fillId="6" borderId="3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20" fillId="20" borderId="33" xfId="0" applyFont="1" applyFill="1" applyBorder="1" applyAlignment="1" applyProtection="1">
      <alignment horizontal="center"/>
      <protection locked="0"/>
    </xf>
    <xf numFmtId="0" fontId="0" fillId="20" borderId="34" xfId="0" applyFill="1" applyBorder="1" applyAlignment="1" applyProtection="1">
      <alignment horizontal="center"/>
      <protection locked="0"/>
    </xf>
    <xf numFmtId="0" fontId="0" fillId="20" borderId="37" xfId="0" applyFill="1" applyBorder="1" applyAlignment="1" applyProtection="1">
      <alignment horizontal="center"/>
      <protection locked="0"/>
    </xf>
    <xf numFmtId="11" fontId="1" fillId="0" borderId="0" xfId="0" applyNumberFormat="1" applyFont="1" applyBorder="1" applyAlignment="1" applyProtection="1">
      <alignment horizontal="center" vertical="center" wrapText="1"/>
    </xf>
    <xf numFmtId="11" fontId="1" fillId="0" borderId="29" xfId="0" applyNumberFormat="1" applyFont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44" fillId="0" borderId="0" xfId="0" applyFont="1" applyBorder="1" applyAlignment="1" applyProtection="1">
      <alignment horizontal="left"/>
      <protection locked="0"/>
    </xf>
    <xf numFmtId="0" fontId="44" fillId="0" borderId="29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14" fontId="0" fillId="0" borderId="37" xfId="0" applyNumberForma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4" fillId="19" borderId="0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66" fillId="6" borderId="0" xfId="2" applyFont="1" applyFill="1" applyBorder="1" applyAlignment="1" applyProtection="1">
      <alignment horizontal="center"/>
    </xf>
    <xf numFmtId="204" fontId="48" fillId="8" borderId="19" xfId="0" applyNumberFormat="1" applyFont="1" applyFill="1" applyBorder="1" applyAlignment="1" applyProtection="1">
      <alignment horizontal="center" vertical="center" wrapText="1"/>
    </xf>
    <xf numFmtId="204" fontId="48" fillId="8" borderId="9" xfId="0" applyNumberFormat="1" applyFont="1" applyFill="1" applyBorder="1" applyAlignment="1" applyProtection="1">
      <alignment horizontal="center" vertical="center" wrapText="1"/>
    </xf>
    <xf numFmtId="0" fontId="2" fillId="20" borderId="7" xfId="0" applyFont="1" applyFill="1" applyBorder="1" applyAlignment="1">
      <alignment horizontal="center"/>
    </xf>
    <xf numFmtId="0" fontId="7" fillId="8" borderId="13" xfId="0" applyFont="1" applyFill="1" applyBorder="1" applyAlignment="1" applyProtection="1">
      <alignment horizontal="right"/>
    </xf>
    <xf numFmtId="0" fontId="7" fillId="8" borderId="21" xfId="0" applyFont="1" applyFill="1" applyBorder="1" applyAlignment="1" applyProtection="1">
      <alignment horizontal="right"/>
    </xf>
    <xf numFmtId="0" fontId="7" fillId="8" borderId="22" xfId="0" applyFont="1" applyFill="1" applyBorder="1" applyAlignment="1" applyProtection="1">
      <alignment horizontal="right"/>
    </xf>
    <xf numFmtId="0" fontId="46" fillId="8" borderId="19" xfId="0" applyFont="1" applyFill="1" applyBorder="1" applyAlignment="1" applyProtection="1">
      <alignment horizontal="center" vertical="center"/>
    </xf>
    <xf numFmtId="0" fontId="46" fillId="8" borderId="36" xfId="0" applyFont="1" applyFill="1" applyBorder="1" applyAlignment="1" applyProtection="1">
      <alignment horizontal="center" vertical="center"/>
    </xf>
    <xf numFmtId="0" fontId="46" fillId="8" borderId="9" xfId="0" applyFont="1" applyFill="1" applyBorder="1" applyAlignment="1" applyProtection="1">
      <alignment horizontal="center" vertical="center"/>
    </xf>
    <xf numFmtId="0" fontId="48" fillId="8" borderId="19" xfId="0" applyNumberFormat="1" applyFont="1" applyFill="1" applyBorder="1" applyAlignment="1" applyProtection="1">
      <alignment horizontal="center" vertical="center" wrapText="1"/>
    </xf>
    <xf numFmtId="0" fontId="48" fillId="8" borderId="9" xfId="0" applyNumberFormat="1" applyFont="1" applyFill="1" applyBorder="1" applyAlignment="1" applyProtection="1">
      <alignment horizontal="center" vertical="center" wrapText="1"/>
    </xf>
    <xf numFmtId="204" fontId="47" fillId="8" borderId="19" xfId="0" applyNumberFormat="1" applyFont="1" applyFill="1" applyBorder="1" applyAlignment="1" applyProtection="1">
      <alignment horizontal="center" vertical="center" wrapText="1"/>
    </xf>
    <xf numFmtId="204" fontId="47" fillId="8" borderId="9" xfId="0" applyNumberFormat="1" applyFont="1" applyFill="1" applyBorder="1" applyAlignment="1" applyProtection="1">
      <alignment horizontal="center" vertical="center" wrapText="1"/>
    </xf>
    <xf numFmtId="0" fontId="41" fillId="4" borderId="0" xfId="0" applyFont="1" applyFill="1" applyAlignment="1">
      <alignment horizontal="center" vertical="center"/>
    </xf>
    <xf numFmtId="0" fontId="66" fillId="0" borderId="7" xfId="2" applyFont="1" applyBorder="1" applyAlignment="1">
      <alignment horizontal="center"/>
    </xf>
    <xf numFmtId="0" fontId="45" fillId="8" borderId="19" xfId="0" applyFont="1" applyFill="1" applyBorder="1" applyAlignment="1" applyProtection="1">
      <alignment horizontal="left" vertical="center" wrapText="1"/>
    </xf>
    <xf numFmtId="0" fontId="45" fillId="8" borderId="9" xfId="0" applyFont="1" applyFill="1" applyBorder="1" applyAlignment="1" applyProtection="1">
      <alignment horizontal="left" vertical="center" wrapText="1"/>
    </xf>
    <xf numFmtId="0" fontId="37" fillId="4" borderId="0" xfId="0" applyFont="1" applyFill="1" applyAlignment="1">
      <alignment horizontal="center"/>
    </xf>
    <xf numFmtId="0" fontId="66" fillId="0" borderId="0" xfId="2" applyFont="1" applyAlignment="1">
      <alignment horizontal="center"/>
    </xf>
    <xf numFmtId="0" fontId="20" fillId="4" borderId="0" xfId="0" applyFont="1" applyFill="1" applyAlignment="1">
      <alignment horizontal="center"/>
    </xf>
    <xf numFmtId="208" fontId="33" fillId="8" borderId="19" xfId="0" applyNumberFormat="1" applyFont="1" applyFill="1" applyBorder="1" applyAlignment="1" applyProtection="1">
      <alignment horizontal="center" vertical="center"/>
    </xf>
    <xf numFmtId="208" fontId="33" fillId="8" borderId="9" xfId="0" applyNumberFormat="1" applyFont="1" applyFill="1" applyBorder="1" applyAlignment="1" applyProtection="1">
      <alignment horizontal="center" vertical="center"/>
    </xf>
    <xf numFmtId="0" fontId="37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 applyProtection="1">
      <alignment horizontal="right"/>
    </xf>
    <xf numFmtId="0" fontId="7" fillId="6" borderId="21" xfId="0" applyFont="1" applyFill="1" applyBorder="1" applyAlignment="1" applyProtection="1">
      <alignment horizontal="right"/>
    </xf>
    <xf numFmtId="0" fontId="7" fillId="6" borderId="22" xfId="0" applyFont="1" applyFill="1" applyBorder="1" applyAlignment="1" applyProtection="1">
      <alignment horizontal="right"/>
    </xf>
    <xf numFmtId="0" fontId="66" fillId="0" borderId="0" xfId="2" applyFont="1" applyBorder="1" applyAlignment="1" applyProtection="1">
      <alignment horizontal="center"/>
    </xf>
    <xf numFmtId="0" fontId="2" fillId="4" borderId="0" xfId="0" applyFont="1" applyFill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21" borderId="7" xfId="0" applyFont="1" applyFill="1" applyBorder="1" applyAlignment="1">
      <alignment horizontal="center"/>
    </xf>
    <xf numFmtId="0" fontId="3" fillId="22" borderId="7" xfId="0" applyFont="1" applyFill="1" applyBorder="1" applyAlignment="1">
      <alignment horizontal="center"/>
    </xf>
    <xf numFmtId="0" fontId="3" fillId="23" borderId="7" xfId="0" applyFont="1" applyFill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8" borderId="13" xfId="0" applyFont="1" applyFill="1" applyBorder="1" applyAlignment="1" applyProtection="1">
      <alignment horizontal="right" vertical="center" wrapText="1"/>
    </xf>
    <xf numFmtId="0" fontId="7" fillId="8" borderId="21" xfId="0" applyFont="1" applyFill="1" applyBorder="1" applyAlignment="1" applyProtection="1">
      <alignment horizontal="right" vertical="center" wrapText="1"/>
    </xf>
    <xf numFmtId="0" fontId="7" fillId="6" borderId="13" xfId="0" applyFont="1" applyFill="1" applyBorder="1" applyAlignment="1" applyProtection="1">
      <alignment horizontal="right" vertical="center"/>
    </xf>
    <xf numFmtId="0" fontId="7" fillId="6" borderId="21" xfId="0" applyFont="1" applyFill="1" applyBorder="1" applyAlignment="1" applyProtection="1">
      <alignment horizontal="right" vertical="center"/>
    </xf>
    <xf numFmtId="0" fontId="11" fillId="4" borderId="0" xfId="2" applyFont="1" applyFill="1" applyAlignment="1">
      <alignment horizontal="center"/>
    </xf>
    <xf numFmtId="0" fontId="2" fillId="2" borderId="41" xfId="0" applyFont="1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3" fillId="0" borderId="22" xfId="0" applyFont="1" applyBorder="1" applyAlignment="1"/>
    <xf numFmtId="0" fontId="6" fillId="3" borderId="38" xfId="0" quotePrefix="1" applyFont="1" applyFill="1" applyBorder="1" applyAlignment="1">
      <alignment horizontal="left"/>
    </xf>
    <xf numFmtId="0" fontId="6" fillId="3" borderId="22" xfId="0" quotePrefix="1" applyFont="1" applyFill="1" applyBorder="1" applyAlignment="1">
      <alignment horizontal="left"/>
    </xf>
    <xf numFmtId="0" fontId="3" fillId="3" borderId="39" xfId="0" applyFont="1" applyFill="1" applyBorder="1" applyAlignment="1">
      <alignment horizontal="left"/>
    </xf>
    <xf numFmtId="0" fontId="3" fillId="3" borderId="40" xfId="0" applyFont="1" applyFill="1" applyBorder="1" applyAlignment="1">
      <alignment horizontal="left"/>
    </xf>
    <xf numFmtId="0" fontId="2" fillId="0" borderId="10" xfId="0" applyFont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2" fontId="74" fillId="0" borderId="13" xfId="0" applyNumberFormat="1" applyFont="1" applyBorder="1" applyAlignment="1">
      <alignment horizontal="center" vertical="center"/>
    </xf>
    <xf numFmtId="2" fontId="74" fillId="0" borderId="21" xfId="0" applyNumberFormat="1" applyFont="1" applyBorder="1" applyAlignment="1">
      <alignment horizontal="center" vertical="center"/>
    </xf>
    <xf numFmtId="2" fontId="74" fillId="0" borderId="22" xfId="0" applyNumberFormat="1" applyFont="1" applyBorder="1" applyAlignment="1">
      <alignment horizontal="center" vertical="center"/>
    </xf>
    <xf numFmtId="203" fontId="1" fillId="0" borderId="0" xfId="0" applyNumberFormat="1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 applyAlignment="1">
      <alignment horizontal="justify" vertical="top" wrapText="1"/>
    </xf>
    <xf numFmtId="0" fontId="74" fillId="0" borderId="7" xfId="0" applyFont="1" applyBorder="1" applyAlignment="1">
      <alignment horizontal="center"/>
    </xf>
    <xf numFmtId="0" fontId="74" fillId="0" borderId="0" xfId="0" applyFont="1" applyAlignment="1">
      <alignment horizontal="center" vertical="center"/>
    </xf>
    <xf numFmtId="0" fontId="78" fillId="0" borderId="10" xfId="0" applyFont="1" applyBorder="1" applyAlignment="1">
      <alignment horizontal="left" vertical="center"/>
    </xf>
    <xf numFmtId="0" fontId="86" fillId="24" borderId="13" xfId="0" applyFont="1" applyFill="1" applyBorder="1" applyAlignment="1">
      <alignment horizontal="center" vertical="center"/>
    </xf>
    <xf numFmtId="0" fontId="86" fillId="24" borderId="22" xfId="0" applyFont="1" applyFill="1" applyBorder="1" applyAlignment="1">
      <alignment horizontal="center" vertical="center"/>
    </xf>
    <xf numFmtId="0" fontId="78" fillId="0" borderId="10" xfId="0" applyFont="1" applyBorder="1" applyAlignment="1">
      <alignment vertical="center"/>
    </xf>
    <xf numFmtId="203" fontId="78" fillId="0" borderId="10" xfId="0" applyNumberFormat="1" applyFont="1" applyBorder="1" applyAlignment="1">
      <alignment horizontal="center" vertical="center"/>
    </xf>
    <xf numFmtId="203" fontId="1" fillId="0" borderId="0" xfId="0" applyNumberFormat="1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7" fillId="0" borderId="45" xfId="0" applyFont="1" applyBorder="1" applyAlignment="1">
      <alignment horizontal="center" vertical="center" wrapText="1"/>
    </xf>
    <xf numFmtId="0" fontId="77" fillId="0" borderId="47" xfId="0" applyFont="1" applyBorder="1" applyAlignment="1">
      <alignment horizontal="center" vertical="center" wrapText="1"/>
    </xf>
    <xf numFmtId="0" fontId="77" fillId="0" borderId="40" xfId="0" applyFont="1" applyBorder="1" applyAlignment="1">
      <alignment horizontal="center" vertical="center" wrapText="1"/>
    </xf>
    <xf numFmtId="0" fontId="77" fillId="0" borderId="50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center" vertical="center" wrapText="1"/>
    </xf>
    <xf numFmtId="0" fontId="77" fillId="0" borderId="4" xfId="0" applyFont="1" applyBorder="1" applyAlignment="1">
      <alignment horizontal="center" vertical="center" wrapText="1"/>
    </xf>
    <xf numFmtId="215" fontId="74" fillId="0" borderId="22" xfId="0" applyNumberFormat="1" applyFont="1" applyBorder="1" applyAlignment="1">
      <alignment horizontal="center" vertical="center"/>
    </xf>
    <xf numFmtId="215" fontId="74" fillId="0" borderId="10" xfId="0" applyNumberFormat="1" applyFont="1" applyBorder="1" applyAlignment="1">
      <alignment horizontal="center" vertical="center"/>
    </xf>
    <xf numFmtId="0" fontId="74" fillId="0" borderId="0" xfId="0" applyFont="1" applyAlignment="1">
      <alignment horizontal="left"/>
    </xf>
    <xf numFmtId="0" fontId="74" fillId="0" borderId="0" xfId="0" applyFont="1" applyAlignment="1">
      <alignment horizontal="left" wrapText="1"/>
    </xf>
    <xf numFmtId="0" fontId="78" fillId="0" borderId="13" xfId="0" applyFont="1" applyBorder="1" applyAlignment="1">
      <alignment horizontal="center" vertical="center" wrapText="1"/>
    </xf>
    <xf numFmtId="0" fontId="78" fillId="0" borderId="22" xfId="0" applyFont="1" applyBorder="1" applyAlignment="1">
      <alignment horizontal="center" vertical="center" wrapText="1"/>
    </xf>
    <xf numFmtId="0" fontId="86" fillId="24" borderId="10" xfId="0" applyFont="1" applyFill="1" applyBorder="1" applyAlignment="1">
      <alignment horizontal="center" vertical="center"/>
    </xf>
    <xf numFmtId="203" fontId="86" fillId="24" borderId="10" xfId="0" applyNumberFormat="1" applyFont="1" applyFill="1" applyBorder="1" applyAlignment="1">
      <alignment horizontal="center" vertical="center"/>
    </xf>
    <xf numFmtId="0" fontId="78" fillId="0" borderId="10" xfId="0" applyFont="1" applyBorder="1" applyAlignment="1">
      <alignment horizontal="left" vertical="center" wrapText="1"/>
    </xf>
    <xf numFmtId="0" fontId="78" fillId="0" borderId="10" xfId="0" applyFont="1" applyBorder="1" applyAlignment="1">
      <alignment vertical="center" wrapText="1"/>
    </xf>
    <xf numFmtId="203" fontId="78" fillId="0" borderId="10" xfId="0" applyNumberFormat="1" applyFont="1" applyBorder="1" applyAlignment="1">
      <alignment horizontal="center" vertical="center" wrapText="1"/>
    </xf>
    <xf numFmtId="0" fontId="74" fillId="0" borderId="13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4" fontId="74" fillId="0" borderId="10" xfId="0" applyNumberFormat="1" applyFont="1" applyBorder="1" applyAlignment="1">
      <alignment horizontal="center" vertical="center"/>
    </xf>
    <xf numFmtId="0" fontId="74" fillId="0" borderId="0" xfId="0" applyFont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7" fillId="0" borderId="10" xfId="0" applyFont="1" applyBorder="1" applyAlignment="1">
      <alignment horizontal="center" vertical="center" wrapText="1"/>
    </xf>
    <xf numFmtId="0" fontId="74" fillId="0" borderId="10" xfId="0" applyFont="1" applyBorder="1" applyAlignment="1">
      <alignment horizontal="center" vertical="center"/>
    </xf>
    <xf numFmtId="0" fontId="74" fillId="0" borderId="13" xfId="0" applyNumberFormat="1" applyFont="1" applyBorder="1" applyAlignment="1">
      <alignment horizontal="center" vertical="center"/>
    </xf>
    <xf numFmtId="0" fontId="74" fillId="0" borderId="21" xfId="0" applyNumberFormat="1" applyFont="1" applyBorder="1" applyAlignment="1">
      <alignment horizontal="center" vertical="center"/>
    </xf>
    <xf numFmtId="0" fontId="74" fillId="0" borderId="22" xfId="0" applyNumberFormat="1" applyFont="1" applyBorder="1" applyAlignment="1">
      <alignment horizontal="center" vertical="center"/>
    </xf>
    <xf numFmtId="0" fontId="87" fillId="0" borderId="0" xfId="0" applyFont="1" applyFill="1" applyAlignment="1" applyProtection="1">
      <alignment horizontal="center"/>
      <protection locked="0"/>
    </xf>
    <xf numFmtId="0" fontId="79" fillId="0" borderId="0" xfId="0" applyFont="1" applyFill="1" applyAlignment="1" applyProtection="1">
      <alignment horizontal="center"/>
      <protection locked="0"/>
    </xf>
    <xf numFmtId="0" fontId="0" fillId="26" borderId="10" xfId="0" applyFill="1" applyBorder="1" applyAlignment="1">
      <alignment horizontal="center"/>
    </xf>
    <xf numFmtId="0" fontId="88" fillId="25" borderId="35" xfId="0" applyFont="1" applyFill="1" applyBorder="1" applyAlignment="1">
      <alignment horizontal="center" vertical="center"/>
    </xf>
    <xf numFmtId="0" fontId="88" fillId="25" borderId="43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0" fontId="89" fillId="4" borderId="43" xfId="0" applyFont="1" applyFill="1" applyBorder="1" applyAlignment="1">
      <alignment horizontal="center" vertical="center"/>
    </xf>
    <xf numFmtId="0" fontId="89" fillId="4" borderId="44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83" fillId="4" borderId="35" xfId="0" applyFont="1" applyFill="1" applyBorder="1" applyAlignment="1">
      <alignment horizontal="left" vertical="center"/>
    </xf>
    <xf numFmtId="0" fontId="83" fillId="4" borderId="44" xfId="0" applyFont="1" applyFill="1" applyBorder="1" applyAlignment="1">
      <alignment horizontal="left" vertical="center"/>
    </xf>
    <xf numFmtId="0" fontId="83" fillId="4" borderId="35" xfId="0" applyFont="1" applyFill="1" applyBorder="1" applyAlignment="1">
      <alignment horizontal="center" vertical="center"/>
    </xf>
    <xf numFmtId="0" fontId="83" fillId="4" borderId="44" xfId="0" applyFont="1" applyFill="1" applyBorder="1" applyAlignment="1">
      <alignment horizontal="center" vertical="center"/>
    </xf>
    <xf numFmtId="0" fontId="83" fillId="4" borderId="30" xfId="0" applyFont="1" applyFill="1" applyBorder="1" applyAlignment="1">
      <alignment horizontal="left" vertical="center"/>
    </xf>
    <xf numFmtId="0" fontId="83" fillId="4" borderId="32" xfId="0" applyFont="1" applyFill="1" applyBorder="1" applyAlignment="1">
      <alignment horizontal="left" vertical="center"/>
    </xf>
    <xf numFmtId="0" fontId="88" fillId="25" borderId="0" xfId="0" applyFont="1" applyFill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273A9C-6E9E-482F-B63F-5F8B215C291B}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10" Type="http://schemas.openxmlformats.org/officeDocument/2006/relationships/image" Target="../media/image15.emf"/><Relationship Id="rId4" Type="http://schemas.openxmlformats.org/officeDocument/2006/relationships/image" Target="../media/image9.wmf"/><Relationship Id="rId9" Type="http://schemas.openxmlformats.org/officeDocument/2006/relationships/image" Target="../media/image14.wmf"/><Relationship Id="rId14" Type="http://schemas.openxmlformats.org/officeDocument/2006/relationships/image" Target="../media/image19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8.emf"/><Relationship Id="rId7" Type="http://schemas.openxmlformats.org/officeDocument/2006/relationships/image" Target="../media/image25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4.emf"/><Relationship Id="rId11" Type="http://schemas.openxmlformats.org/officeDocument/2006/relationships/image" Target="../media/image15.emf"/><Relationship Id="rId5" Type="http://schemas.openxmlformats.org/officeDocument/2006/relationships/image" Target="../media/image23.emf"/><Relationship Id="rId10" Type="http://schemas.openxmlformats.org/officeDocument/2006/relationships/image" Target="../media/image14.wmf"/><Relationship Id="rId4" Type="http://schemas.openxmlformats.org/officeDocument/2006/relationships/image" Target="../media/image9.wmf"/><Relationship Id="rId9" Type="http://schemas.openxmlformats.org/officeDocument/2006/relationships/image" Target="../media/image26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8.emf"/><Relationship Id="rId7" Type="http://schemas.openxmlformats.org/officeDocument/2006/relationships/image" Target="../media/image29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8.emf"/><Relationship Id="rId11" Type="http://schemas.openxmlformats.org/officeDocument/2006/relationships/image" Target="../media/image15.emf"/><Relationship Id="rId5" Type="http://schemas.openxmlformats.org/officeDocument/2006/relationships/image" Target="../media/image27.emf"/><Relationship Id="rId10" Type="http://schemas.openxmlformats.org/officeDocument/2006/relationships/image" Target="../media/image14.wmf"/><Relationship Id="rId4" Type="http://schemas.openxmlformats.org/officeDocument/2006/relationships/image" Target="../media/image9.wmf"/><Relationship Id="rId9" Type="http://schemas.openxmlformats.org/officeDocument/2006/relationships/image" Target="../media/image30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8.emf"/><Relationship Id="rId7" Type="http://schemas.openxmlformats.org/officeDocument/2006/relationships/image" Target="../media/image33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32.emf"/><Relationship Id="rId11" Type="http://schemas.openxmlformats.org/officeDocument/2006/relationships/image" Target="../media/image15.emf"/><Relationship Id="rId5" Type="http://schemas.openxmlformats.org/officeDocument/2006/relationships/image" Target="../media/image31.emf"/><Relationship Id="rId10" Type="http://schemas.openxmlformats.org/officeDocument/2006/relationships/image" Target="../media/image14.wmf"/><Relationship Id="rId4" Type="http://schemas.openxmlformats.org/officeDocument/2006/relationships/image" Target="../media/image9.wmf"/><Relationship Id="rId9" Type="http://schemas.openxmlformats.org/officeDocument/2006/relationships/image" Target="../media/image34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8.emf"/><Relationship Id="rId7" Type="http://schemas.openxmlformats.org/officeDocument/2006/relationships/image" Target="../media/image37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36.emf"/><Relationship Id="rId11" Type="http://schemas.openxmlformats.org/officeDocument/2006/relationships/image" Target="../media/image15.emf"/><Relationship Id="rId5" Type="http://schemas.openxmlformats.org/officeDocument/2006/relationships/image" Target="../media/image35.emf"/><Relationship Id="rId10" Type="http://schemas.openxmlformats.org/officeDocument/2006/relationships/image" Target="../media/image14.wmf"/><Relationship Id="rId4" Type="http://schemas.openxmlformats.org/officeDocument/2006/relationships/image" Target="../media/image9.wmf"/><Relationship Id="rId9" Type="http://schemas.openxmlformats.org/officeDocument/2006/relationships/image" Target="../media/image38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137160</xdr:rowOff>
    </xdr:to>
    <xdr:sp macro="" textlink="">
      <xdr:nvSpPr>
        <xdr:cNvPr id="115778" name="AutoShape 1" descr="{\ displaystyle P (x) _ () ^ () =}">
          <a:extLst>
            <a:ext uri="{FF2B5EF4-FFF2-40B4-BE49-F238E27FC236}">
              <a16:creationId xmlns:a16="http://schemas.microsoft.com/office/drawing/2014/main" id="{847802B3-C21A-6F8F-B456-3C1959417A60}"/>
            </a:ext>
          </a:extLst>
        </xdr:cNvPr>
        <xdr:cNvSpPr>
          <a:spLocks noChangeAspect="1" noChangeArrowheads="1"/>
        </xdr:cNvSpPr>
      </xdr:nvSpPr>
      <xdr:spPr bwMode="auto">
        <a:xfrm>
          <a:off x="5768340" y="1676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312420</xdr:colOff>
      <xdr:row>1</xdr:row>
      <xdr:rowOff>0</xdr:rowOff>
    </xdr:from>
    <xdr:to>
      <xdr:col>9</xdr:col>
      <xdr:colOff>7620</xdr:colOff>
      <xdr:row>2</xdr:row>
      <xdr:rowOff>137160</xdr:rowOff>
    </xdr:to>
    <xdr:sp macro="" textlink="">
      <xdr:nvSpPr>
        <xdr:cNvPr id="115779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011F1272-0648-090A-E2D7-9B05AAD5A5D9}"/>
            </a:ext>
          </a:extLst>
        </xdr:cNvPr>
        <xdr:cNvSpPr>
          <a:spLocks noChangeAspect="1" noChangeArrowheads="1"/>
        </xdr:cNvSpPr>
      </xdr:nvSpPr>
      <xdr:spPr bwMode="auto">
        <a:xfrm>
          <a:off x="6080760" y="1676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441960</xdr:colOff>
      <xdr:row>0</xdr:row>
      <xdr:rowOff>121920</xdr:rowOff>
    </xdr:from>
    <xdr:to>
      <xdr:col>12</xdr:col>
      <xdr:colOff>68580</xdr:colOff>
      <xdr:row>2</xdr:row>
      <xdr:rowOff>30480</xdr:rowOff>
    </xdr:to>
    <xdr:pic>
      <xdr:nvPicPr>
        <xdr:cNvPr id="115780" name="Picture 23">
          <a:extLst>
            <a:ext uri="{FF2B5EF4-FFF2-40B4-BE49-F238E27FC236}">
              <a16:creationId xmlns:a16="http://schemas.microsoft.com/office/drawing/2014/main" id="{87964411-6637-110C-82E6-A7DA968B5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21920"/>
          <a:ext cx="286512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358140</xdr:colOff>
      <xdr:row>0</xdr:row>
      <xdr:rowOff>106680</xdr:rowOff>
    </xdr:from>
    <xdr:to>
      <xdr:col>16</xdr:col>
      <xdr:colOff>304800</xdr:colOff>
      <xdr:row>2</xdr:row>
      <xdr:rowOff>53340</xdr:rowOff>
    </xdr:to>
    <xdr:pic>
      <xdr:nvPicPr>
        <xdr:cNvPr id="115781" name="Picture 24">
          <a:extLst>
            <a:ext uri="{FF2B5EF4-FFF2-40B4-BE49-F238E27FC236}">
              <a16:creationId xmlns:a16="http://schemas.microsoft.com/office/drawing/2014/main" id="{A661B06A-4F12-3085-AA0A-D349BBA8E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380" y="106680"/>
          <a:ext cx="23850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464820</xdr:colOff>
      <xdr:row>0</xdr:row>
      <xdr:rowOff>0</xdr:rowOff>
    </xdr:from>
    <xdr:to>
      <xdr:col>18</xdr:col>
      <xdr:colOff>449580</xdr:colOff>
      <xdr:row>3</xdr:row>
      <xdr:rowOff>68580</xdr:rowOff>
    </xdr:to>
    <xdr:pic>
      <xdr:nvPicPr>
        <xdr:cNvPr id="115782" name="Picture 25">
          <a:extLst>
            <a:ext uri="{FF2B5EF4-FFF2-40B4-BE49-F238E27FC236}">
              <a16:creationId xmlns:a16="http://schemas.microsoft.com/office/drawing/2014/main" id="{376C2F62-5203-FE40-71E1-08437A1FB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0460" y="0"/>
          <a:ext cx="120396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114300</xdr:rowOff>
    </xdr:to>
    <xdr:pic>
      <xdr:nvPicPr>
        <xdr:cNvPr id="114719" name="4 Imagen">
          <a:extLst>
            <a:ext uri="{FF2B5EF4-FFF2-40B4-BE49-F238E27FC236}">
              <a16:creationId xmlns:a16="http://schemas.microsoft.com/office/drawing/2014/main" id="{E8923C70-81E9-AB1D-0D98-6A6695EF6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0" y="0"/>
          <a:ext cx="372618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96579" name="Object 323" hidden="1">
              <a:extLst>
                <a:ext uri="{63B3BB69-23CF-44E3-9099-C40C66FF867C}">
                  <a14:compatExt spid="_x0000_s96579"/>
                </a:ext>
                <a:ext uri="{FF2B5EF4-FFF2-40B4-BE49-F238E27FC236}">
                  <a16:creationId xmlns:a16="http://schemas.microsoft.com/office/drawing/2014/main" id="{A89B3528-D230-FE57-D5CD-732BCF2CB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96581" name="Object 325" hidden="1">
              <a:extLst>
                <a:ext uri="{63B3BB69-23CF-44E3-9099-C40C66FF867C}">
                  <a14:compatExt spid="_x0000_s96581"/>
                </a:ext>
                <a:ext uri="{FF2B5EF4-FFF2-40B4-BE49-F238E27FC236}">
                  <a16:creationId xmlns:a16="http://schemas.microsoft.com/office/drawing/2014/main" id="{A8B58F14-2F31-041A-F650-93A570E33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96586" name="Object 330" hidden="1">
              <a:extLst>
                <a:ext uri="{63B3BB69-23CF-44E3-9099-C40C66FF867C}">
                  <a14:compatExt spid="_x0000_s96586"/>
                </a:ext>
                <a:ext uri="{FF2B5EF4-FFF2-40B4-BE49-F238E27FC236}">
                  <a16:creationId xmlns:a16="http://schemas.microsoft.com/office/drawing/2014/main" id="{B023A789-0D24-A054-F359-C5603D4F9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14720" name="6 Imagen">
          <a:extLst>
            <a:ext uri="{FF2B5EF4-FFF2-40B4-BE49-F238E27FC236}">
              <a16:creationId xmlns:a16="http://schemas.microsoft.com/office/drawing/2014/main" id="{C963AAD5-5082-6966-B35F-B12FDBADC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1020" y="35814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96830" name="Object 574" hidden="1">
              <a:extLst>
                <a:ext uri="{63B3BB69-23CF-44E3-9099-C40C66FF867C}">
                  <a14:compatExt spid="_x0000_s96830"/>
                </a:ext>
                <a:ext uri="{FF2B5EF4-FFF2-40B4-BE49-F238E27FC236}">
                  <a16:creationId xmlns:a16="http://schemas.microsoft.com/office/drawing/2014/main" id="{9EE25E96-7535-36AA-FC88-02838C0FE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96831" name="Object 575" hidden="1">
              <a:extLst>
                <a:ext uri="{63B3BB69-23CF-44E3-9099-C40C66FF867C}">
                  <a14:compatExt spid="_x0000_s96831"/>
                </a:ext>
                <a:ext uri="{FF2B5EF4-FFF2-40B4-BE49-F238E27FC236}">
                  <a16:creationId xmlns:a16="http://schemas.microsoft.com/office/drawing/2014/main" id="{134040DF-7CCB-EA44-9719-BB9D34627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96840" name="Object 584" hidden="1">
              <a:extLst>
                <a:ext uri="{63B3BB69-23CF-44E3-9099-C40C66FF867C}">
                  <a14:compatExt spid="_x0000_s96840"/>
                </a:ext>
                <a:ext uri="{FF2B5EF4-FFF2-40B4-BE49-F238E27FC236}">
                  <a16:creationId xmlns:a16="http://schemas.microsoft.com/office/drawing/2014/main" id="{53817057-AF32-99CA-9FBA-3CB7AD096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96841" name="Object 585" hidden="1">
              <a:extLst>
                <a:ext uri="{63B3BB69-23CF-44E3-9099-C40C66FF867C}">
                  <a14:compatExt spid="_x0000_s96841"/>
                </a:ext>
                <a:ext uri="{FF2B5EF4-FFF2-40B4-BE49-F238E27FC236}">
                  <a16:creationId xmlns:a16="http://schemas.microsoft.com/office/drawing/2014/main" id="{A77E1208-080F-E7C9-450A-40BB4086B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96866" name="Object 610" hidden="1">
              <a:extLst>
                <a:ext uri="{63B3BB69-23CF-44E3-9099-C40C66FF867C}">
                  <a14:compatExt spid="_x0000_s96866"/>
                </a:ext>
                <a:ext uri="{FF2B5EF4-FFF2-40B4-BE49-F238E27FC236}">
                  <a16:creationId xmlns:a16="http://schemas.microsoft.com/office/drawing/2014/main" id="{16B98A35-F333-08C6-5EC3-ADDCD46B8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96867" name="Object 611" hidden="1">
              <a:extLst>
                <a:ext uri="{63B3BB69-23CF-44E3-9099-C40C66FF867C}">
                  <a14:compatExt spid="_x0000_s96867"/>
                </a:ext>
                <a:ext uri="{FF2B5EF4-FFF2-40B4-BE49-F238E27FC236}">
                  <a16:creationId xmlns:a16="http://schemas.microsoft.com/office/drawing/2014/main" id="{A30166AE-BE29-856C-95CB-10B19B1B2C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96874" name="Object 618" hidden="1">
              <a:extLst>
                <a:ext uri="{63B3BB69-23CF-44E3-9099-C40C66FF867C}">
                  <a14:compatExt spid="_x0000_s96874"/>
                </a:ext>
                <a:ext uri="{FF2B5EF4-FFF2-40B4-BE49-F238E27FC236}">
                  <a16:creationId xmlns:a16="http://schemas.microsoft.com/office/drawing/2014/main" id="{C437C5D3-558A-F526-B836-8DBE0DA90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96875" name="Object 619" hidden="1">
              <a:extLst>
                <a:ext uri="{63B3BB69-23CF-44E3-9099-C40C66FF867C}">
                  <a14:compatExt spid="_x0000_s96875"/>
                </a:ext>
                <a:ext uri="{FF2B5EF4-FFF2-40B4-BE49-F238E27FC236}">
                  <a16:creationId xmlns:a16="http://schemas.microsoft.com/office/drawing/2014/main" id="{953B84F8-C31B-D479-B15A-538C9F443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878" name="Object 622" hidden="1">
              <a:extLst>
                <a:ext uri="{63B3BB69-23CF-44E3-9099-C40C66FF867C}">
                  <a14:compatExt spid="_x0000_s96878"/>
                </a:ext>
                <a:ext uri="{FF2B5EF4-FFF2-40B4-BE49-F238E27FC236}">
                  <a16:creationId xmlns:a16="http://schemas.microsoft.com/office/drawing/2014/main" id="{5C887CF2-D59A-90A0-24B0-175D0E813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12</xdr:row>
          <xdr:rowOff>83820</xdr:rowOff>
        </xdr:from>
        <xdr:to>
          <xdr:col>2</xdr:col>
          <xdr:colOff>297180</xdr:colOff>
          <xdr:row>15</xdr:row>
          <xdr:rowOff>99060</xdr:rowOff>
        </xdr:to>
        <xdr:sp macro="" textlink="">
          <xdr:nvSpPr>
            <xdr:cNvPr id="96912" name="Object 656" hidden="1">
              <a:extLst>
                <a:ext uri="{63B3BB69-23CF-44E3-9099-C40C66FF867C}">
                  <a14:compatExt spid="_x0000_s96912"/>
                </a:ext>
                <a:ext uri="{FF2B5EF4-FFF2-40B4-BE49-F238E27FC236}">
                  <a16:creationId xmlns:a16="http://schemas.microsoft.com/office/drawing/2014/main" id="{3615D6C7-31BA-B5B6-E544-FE1198BEF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919" name="Object 663" hidden="1">
              <a:extLst>
                <a:ext uri="{63B3BB69-23CF-44E3-9099-C40C66FF867C}">
                  <a14:compatExt spid="_x0000_s96919"/>
                </a:ext>
                <a:ext uri="{FF2B5EF4-FFF2-40B4-BE49-F238E27FC236}">
                  <a16:creationId xmlns:a16="http://schemas.microsoft.com/office/drawing/2014/main" id="{3130F434-B883-7F57-C947-45D611657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96920" name="Object 664" hidden="1">
              <a:extLst>
                <a:ext uri="{63B3BB69-23CF-44E3-9099-C40C66FF867C}">
                  <a14:compatExt spid="_x0000_s96920"/>
                </a:ext>
                <a:ext uri="{FF2B5EF4-FFF2-40B4-BE49-F238E27FC236}">
                  <a16:creationId xmlns:a16="http://schemas.microsoft.com/office/drawing/2014/main" id="{EFEEDC6D-8694-287D-D113-ED7D2DB99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2" name="Object 666" hidden="1">
              <a:extLst>
                <a:ext uri="{63B3BB69-23CF-44E3-9099-C40C66FF867C}">
                  <a14:compatExt spid="_x0000_s96922"/>
                </a:ext>
                <a:ext uri="{FF2B5EF4-FFF2-40B4-BE49-F238E27FC236}">
                  <a16:creationId xmlns:a16="http://schemas.microsoft.com/office/drawing/2014/main" id="{A2DE17C0-7813-7B47-E5CC-0E26EC2F9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4" name="Object 668" hidden="1">
              <a:extLst>
                <a:ext uri="{63B3BB69-23CF-44E3-9099-C40C66FF867C}">
                  <a14:compatExt spid="_x0000_s96924"/>
                </a:ext>
                <a:ext uri="{FF2B5EF4-FFF2-40B4-BE49-F238E27FC236}">
                  <a16:creationId xmlns:a16="http://schemas.microsoft.com/office/drawing/2014/main" id="{26EA68FD-E3B1-44E4-BD49-1AD8B13F7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5" name="Object 669" hidden="1">
              <a:extLst>
                <a:ext uri="{63B3BB69-23CF-44E3-9099-C40C66FF867C}">
                  <a14:compatExt spid="_x0000_s96925"/>
                </a:ext>
                <a:ext uri="{FF2B5EF4-FFF2-40B4-BE49-F238E27FC236}">
                  <a16:creationId xmlns:a16="http://schemas.microsoft.com/office/drawing/2014/main" id="{8CD58AF2-690B-8B85-225D-B907D1FFD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96926" name="Object 670" hidden="1">
              <a:extLst>
                <a:ext uri="{63B3BB69-23CF-44E3-9099-C40C66FF867C}">
                  <a14:compatExt spid="_x0000_s96926"/>
                </a:ext>
                <a:ext uri="{FF2B5EF4-FFF2-40B4-BE49-F238E27FC236}">
                  <a16:creationId xmlns:a16="http://schemas.microsoft.com/office/drawing/2014/main" id="{3654DF24-44E9-29C8-1EEF-9C8EB7206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7" name="Object 671" hidden="1">
              <a:extLst>
                <a:ext uri="{63B3BB69-23CF-44E3-9099-C40C66FF867C}">
                  <a14:compatExt spid="_x0000_s96927"/>
                </a:ext>
                <a:ext uri="{FF2B5EF4-FFF2-40B4-BE49-F238E27FC236}">
                  <a16:creationId xmlns:a16="http://schemas.microsoft.com/office/drawing/2014/main" id="{C2DE6E63-BDBE-CB06-141D-E648FF051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1074420</xdr:colOff>
          <xdr:row>41</xdr:row>
          <xdr:rowOff>83820</xdr:rowOff>
        </xdr:from>
        <xdr:to>
          <xdr:col>52</xdr:col>
          <xdr:colOff>15240</xdr:colOff>
          <xdr:row>42</xdr:row>
          <xdr:rowOff>152400</xdr:rowOff>
        </xdr:to>
        <xdr:sp macro="" textlink="">
          <xdr:nvSpPr>
            <xdr:cNvPr id="97096" name="Object 840" hidden="1">
              <a:extLst>
                <a:ext uri="{63B3BB69-23CF-44E3-9099-C40C66FF867C}">
                  <a14:compatExt spid="_x0000_s97096"/>
                </a:ext>
                <a:ext uri="{FF2B5EF4-FFF2-40B4-BE49-F238E27FC236}">
                  <a16:creationId xmlns:a16="http://schemas.microsoft.com/office/drawing/2014/main" id="{606F4349-B428-0CEE-9757-EA7DDB125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68580</xdr:colOff>
          <xdr:row>33</xdr:row>
          <xdr:rowOff>91440</xdr:rowOff>
        </xdr:from>
        <xdr:to>
          <xdr:col>51</xdr:col>
          <xdr:colOff>762000</xdr:colOff>
          <xdr:row>34</xdr:row>
          <xdr:rowOff>160020</xdr:rowOff>
        </xdr:to>
        <xdr:sp macro="" textlink="">
          <xdr:nvSpPr>
            <xdr:cNvPr id="97097" name="Object 841" hidden="1">
              <a:extLst>
                <a:ext uri="{63B3BB69-23CF-44E3-9099-C40C66FF867C}">
                  <a14:compatExt spid="_x0000_s97097"/>
                </a:ext>
                <a:ext uri="{FF2B5EF4-FFF2-40B4-BE49-F238E27FC236}">
                  <a16:creationId xmlns:a16="http://schemas.microsoft.com/office/drawing/2014/main" id="{07440E84-3E00-5BD3-9592-052F4A39F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49</xdr:row>
          <xdr:rowOff>38100</xdr:rowOff>
        </xdr:from>
        <xdr:to>
          <xdr:col>51</xdr:col>
          <xdr:colOff>731520</xdr:colOff>
          <xdr:row>50</xdr:row>
          <xdr:rowOff>152400</xdr:rowOff>
        </xdr:to>
        <xdr:sp macro="" textlink="">
          <xdr:nvSpPr>
            <xdr:cNvPr id="97098" name="Object 842" hidden="1">
              <a:extLst>
                <a:ext uri="{63B3BB69-23CF-44E3-9099-C40C66FF867C}">
                  <a14:compatExt spid="_x0000_s97098"/>
                </a:ext>
                <a:ext uri="{FF2B5EF4-FFF2-40B4-BE49-F238E27FC236}">
                  <a16:creationId xmlns:a16="http://schemas.microsoft.com/office/drawing/2014/main" id="{093C403E-2003-4819-D4C8-A76593ADA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137160</xdr:rowOff>
    </xdr:to>
    <xdr:pic>
      <xdr:nvPicPr>
        <xdr:cNvPr id="106867" name="4 Imagen">
          <a:extLst>
            <a:ext uri="{FF2B5EF4-FFF2-40B4-BE49-F238E27FC236}">
              <a16:creationId xmlns:a16="http://schemas.microsoft.com/office/drawing/2014/main" id="{76557DF3-A6B8-F521-B7FE-74A33C4D3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  <a:ext uri="{FF2B5EF4-FFF2-40B4-BE49-F238E27FC236}">
                  <a16:creationId xmlns:a16="http://schemas.microsoft.com/office/drawing/2014/main" id="{4E691A66-18C6-E2C5-88B6-88126BBA2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6498" name="Object 2" hidden="1">
              <a:extLst>
                <a:ext uri="{63B3BB69-23CF-44E3-9099-C40C66FF867C}">
                  <a14:compatExt spid="_x0000_s106498"/>
                </a:ext>
                <a:ext uri="{FF2B5EF4-FFF2-40B4-BE49-F238E27FC236}">
                  <a16:creationId xmlns:a16="http://schemas.microsoft.com/office/drawing/2014/main" id="{A39184E7-5839-6FBF-7ECC-D598D3ADE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6499" name="Object 3" hidden="1">
              <a:extLst>
                <a:ext uri="{63B3BB69-23CF-44E3-9099-C40C66FF867C}">
                  <a14:compatExt spid="_x0000_s106499"/>
                </a:ext>
                <a:ext uri="{FF2B5EF4-FFF2-40B4-BE49-F238E27FC236}">
                  <a16:creationId xmlns:a16="http://schemas.microsoft.com/office/drawing/2014/main" id="{179F4762-1F8D-28F9-BD88-07A7C8EF2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6868" name="6 Imagen">
          <a:extLst>
            <a:ext uri="{FF2B5EF4-FFF2-40B4-BE49-F238E27FC236}">
              <a16:creationId xmlns:a16="http://schemas.microsoft.com/office/drawing/2014/main" id="{9848AEC8-4BE5-9DC9-B5B2-6C8C0C4A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6500" name="Object 4" hidden="1">
              <a:extLst>
                <a:ext uri="{63B3BB69-23CF-44E3-9099-C40C66FF867C}">
                  <a14:compatExt spid="_x0000_s106500"/>
                </a:ext>
                <a:ext uri="{FF2B5EF4-FFF2-40B4-BE49-F238E27FC236}">
                  <a16:creationId xmlns:a16="http://schemas.microsoft.com/office/drawing/2014/main" id="{5692CCB2-DF76-F2BD-A6D5-0C07472C5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6501" name="Object 5" hidden="1">
              <a:extLst>
                <a:ext uri="{63B3BB69-23CF-44E3-9099-C40C66FF867C}">
                  <a14:compatExt spid="_x0000_s106501"/>
                </a:ext>
                <a:ext uri="{FF2B5EF4-FFF2-40B4-BE49-F238E27FC236}">
                  <a16:creationId xmlns:a16="http://schemas.microsoft.com/office/drawing/2014/main" id="{F3BD214C-DCB4-581E-1384-C95F8D371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6503" name="Object 7" hidden="1">
              <a:extLst>
                <a:ext uri="{63B3BB69-23CF-44E3-9099-C40C66FF867C}">
                  <a14:compatExt spid="_x0000_s106503"/>
                </a:ext>
                <a:ext uri="{FF2B5EF4-FFF2-40B4-BE49-F238E27FC236}">
                  <a16:creationId xmlns:a16="http://schemas.microsoft.com/office/drawing/2014/main" id="{0174076B-3E2D-13C8-3DCA-C899A8FC8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6504" name="Object 8" hidden="1">
              <a:extLst>
                <a:ext uri="{63B3BB69-23CF-44E3-9099-C40C66FF867C}">
                  <a14:compatExt spid="_x0000_s106504"/>
                </a:ext>
                <a:ext uri="{FF2B5EF4-FFF2-40B4-BE49-F238E27FC236}">
                  <a16:creationId xmlns:a16="http://schemas.microsoft.com/office/drawing/2014/main" id="{57046898-D4F9-C80A-7AD2-9CB9CF852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6506" name="Object 10" hidden="1">
              <a:extLst>
                <a:ext uri="{63B3BB69-23CF-44E3-9099-C40C66FF867C}">
                  <a14:compatExt spid="_x0000_s106506"/>
                </a:ext>
                <a:ext uri="{FF2B5EF4-FFF2-40B4-BE49-F238E27FC236}">
                  <a16:creationId xmlns:a16="http://schemas.microsoft.com/office/drawing/2014/main" id="{6C478D3C-B873-C077-C1C7-0AFDDBB0F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6507" name="Object 11" hidden="1">
              <a:extLst>
                <a:ext uri="{63B3BB69-23CF-44E3-9099-C40C66FF867C}">
                  <a14:compatExt spid="_x0000_s106507"/>
                </a:ext>
                <a:ext uri="{FF2B5EF4-FFF2-40B4-BE49-F238E27FC236}">
                  <a16:creationId xmlns:a16="http://schemas.microsoft.com/office/drawing/2014/main" id="{88A80563-CE21-D8DB-63C9-BC1EADD57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6508" name="Object 12" hidden="1">
              <a:extLst>
                <a:ext uri="{63B3BB69-23CF-44E3-9099-C40C66FF867C}">
                  <a14:compatExt spid="_x0000_s106508"/>
                </a:ext>
                <a:ext uri="{FF2B5EF4-FFF2-40B4-BE49-F238E27FC236}">
                  <a16:creationId xmlns:a16="http://schemas.microsoft.com/office/drawing/2014/main" id="{4055EECA-29BB-8939-F7EA-5B8FBE484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6509" name="Object 13" hidden="1">
              <a:extLst>
                <a:ext uri="{63B3BB69-23CF-44E3-9099-C40C66FF867C}">
                  <a14:compatExt spid="_x0000_s106509"/>
                </a:ext>
                <a:ext uri="{FF2B5EF4-FFF2-40B4-BE49-F238E27FC236}">
                  <a16:creationId xmlns:a16="http://schemas.microsoft.com/office/drawing/2014/main" id="{DE3ABE00-4CCA-4F58-0CD3-8AC9F7ADF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6510" name="Object 14" hidden="1">
              <a:extLst>
                <a:ext uri="{63B3BB69-23CF-44E3-9099-C40C66FF867C}">
                  <a14:compatExt spid="_x0000_s106510"/>
                </a:ext>
                <a:ext uri="{FF2B5EF4-FFF2-40B4-BE49-F238E27FC236}">
                  <a16:creationId xmlns:a16="http://schemas.microsoft.com/office/drawing/2014/main" id="{141C9AE6-5DC3-01EF-5273-382E4C0E4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6511" name="Object 15" hidden="1">
              <a:extLst>
                <a:ext uri="{63B3BB69-23CF-44E3-9099-C40C66FF867C}">
                  <a14:compatExt spid="_x0000_s106511"/>
                </a:ext>
                <a:ext uri="{FF2B5EF4-FFF2-40B4-BE49-F238E27FC236}">
                  <a16:creationId xmlns:a16="http://schemas.microsoft.com/office/drawing/2014/main" id="{AB5589C9-6B45-503D-B1F2-933B7A368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2" name="Object 16" hidden="1">
              <a:extLst>
                <a:ext uri="{63B3BB69-23CF-44E3-9099-C40C66FF867C}">
                  <a14:compatExt spid="_x0000_s106512"/>
                </a:ext>
                <a:ext uri="{FF2B5EF4-FFF2-40B4-BE49-F238E27FC236}">
                  <a16:creationId xmlns:a16="http://schemas.microsoft.com/office/drawing/2014/main" id="{6605880C-8462-53CF-CDB6-B619E8076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3" name="Object 17" hidden="1">
              <a:extLst>
                <a:ext uri="{63B3BB69-23CF-44E3-9099-C40C66FF867C}">
                  <a14:compatExt spid="_x0000_s106513"/>
                </a:ext>
                <a:ext uri="{FF2B5EF4-FFF2-40B4-BE49-F238E27FC236}">
                  <a16:creationId xmlns:a16="http://schemas.microsoft.com/office/drawing/2014/main" id="{0687C1F1-D38C-D8CA-2A00-ADDF1C4F7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731520</xdr:colOff>
          <xdr:row>10</xdr:row>
          <xdr:rowOff>152400</xdr:rowOff>
        </xdr:from>
        <xdr:to>
          <xdr:col>2</xdr:col>
          <xdr:colOff>198120</xdr:colOff>
          <xdr:row>12</xdr:row>
          <xdr:rowOff>220980</xdr:rowOff>
        </xdr:to>
        <xdr:sp macro="" textlink="">
          <xdr:nvSpPr>
            <xdr:cNvPr id="106514" name="Object 18" hidden="1">
              <a:extLst>
                <a:ext uri="{63B3BB69-23CF-44E3-9099-C40C66FF867C}">
                  <a14:compatExt spid="_x0000_s106514"/>
                </a:ext>
                <a:ext uri="{FF2B5EF4-FFF2-40B4-BE49-F238E27FC236}">
                  <a16:creationId xmlns:a16="http://schemas.microsoft.com/office/drawing/2014/main" id="{4F90A768-07F1-8F8A-FF52-EE10809AE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5" name="Object 19" hidden="1">
              <a:extLst>
                <a:ext uri="{63B3BB69-23CF-44E3-9099-C40C66FF867C}">
                  <a14:compatExt spid="_x0000_s106515"/>
                </a:ext>
                <a:ext uri="{FF2B5EF4-FFF2-40B4-BE49-F238E27FC236}">
                  <a16:creationId xmlns:a16="http://schemas.microsoft.com/office/drawing/2014/main" id="{102097C6-F079-50ED-BF4C-9968813C2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6516" name="Object 20" hidden="1">
              <a:extLst>
                <a:ext uri="{63B3BB69-23CF-44E3-9099-C40C66FF867C}">
                  <a14:compatExt spid="_x0000_s106516"/>
                </a:ext>
                <a:ext uri="{FF2B5EF4-FFF2-40B4-BE49-F238E27FC236}">
                  <a16:creationId xmlns:a16="http://schemas.microsoft.com/office/drawing/2014/main" id="{489B107F-7080-E411-2A4B-0253B3E3B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7" name="Object 21" hidden="1">
              <a:extLst>
                <a:ext uri="{63B3BB69-23CF-44E3-9099-C40C66FF867C}">
                  <a14:compatExt spid="_x0000_s106517"/>
                </a:ext>
                <a:ext uri="{FF2B5EF4-FFF2-40B4-BE49-F238E27FC236}">
                  <a16:creationId xmlns:a16="http://schemas.microsoft.com/office/drawing/2014/main" id="{A528F21E-321F-8457-53CA-ACCA4842A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18" name="Object 22" hidden="1">
              <a:extLst>
                <a:ext uri="{63B3BB69-23CF-44E3-9099-C40C66FF867C}">
                  <a14:compatExt spid="_x0000_s106518"/>
                </a:ext>
                <a:ext uri="{FF2B5EF4-FFF2-40B4-BE49-F238E27FC236}">
                  <a16:creationId xmlns:a16="http://schemas.microsoft.com/office/drawing/2014/main" id="{48892DA0-D3D9-10C8-84C0-D33EFBC94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19" name="Object 23" hidden="1">
              <a:extLst>
                <a:ext uri="{63B3BB69-23CF-44E3-9099-C40C66FF867C}">
                  <a14:compatExt spid="_x0000_s106519"/>
                </a:ext>
                <a:ext uri="{FF2B5EF4-FFF2-40B4-BE49-F238E27FC236}">
                  <a16:creationId xmlns:a16="http://schemas.microsoft.com/office/drawing/2014/main" id="{A90BF284-35DA-E7EF-B982-DCF4555BE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20" name="Object 24" hidden="1">
              <a:extLst>
                <a:ext uri="{63B3BB69-23CF-44E3-9099-C40C66FF867C}">
                  <a14:compatExt spid="_x0000_s106520"/>
                </a:ext>
                <a:ext uri="{FF2B5EF4-FFF2-40B4-BE49-F238E27FC236}">
                  <a16:creationId xmlns:a16="http://schemas.microsoft.com/office/drawing/2014/main" id="{630E5B8D-196D-6120-C501-32880060B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6521" name="Object 25" hidden="1">
              <a:extLst>
                <a:ext uri="{63B3BB69-23CF-44E3-9099-C40C66FF867C}">
                  <a14:compatExt spid="_x0000_s106521"/>
                </a:ext>
                <a:ext uri="{FF2B5EF4-FFF2-40B4-BE49-F238E27FC236}">
                  <a16:creationId xmlns:a16="http://schemas.microsoft.com/office/drawing/2014/main" id="{F78A9077-2893-0472-23FB-87908FCA8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22" name="Object 26" hidden="1">
              <a:extLst>
                <a:ext uri="{63B3BB69-23CF-44E3-9099-C40C66FF867C}">
                  <a14:compatExt spid="_x0000_s106522"/>
                </a:ext>
                <a:ext uri="{FF2B5EF4-FFF2-40B4-BE49-F238E27FC236}">
                  <a16:creationId xmlns:a16="http://schemas.microsoft.com/office/drawing/2014/main" id="{C7050CA1-35D1-8990-6E65-3E642514C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7891" name="4 Imagen">
          <a:extLst>
            <a:ext uri="{FF2B5EF4-FFF2-40B4-BE49-F238E27FC236}">
              <a16:creationId xmlns:a16="http://schemas.microsoft.com/office/drawing/2014/main" id="{252B7FDB-B441-BF2D-62C4-5B45AF417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7521" name="Object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1F7F9957-26AF-B5A6-6921-079FF9F71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7522" name="Object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3E6D22C2-566F-F6A5-3249-BD4E61667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7523" name="Object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0444A009-B89F-A1F2-8502-4DAAFC11E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7892" name="6 Imagen">
          <a:extLst>
            <a:ext uri="{FF2B5EF4-FFF2-40B4-BE49-F238E27FC236}">
              <a16:creationId xmlns:a16="http://schemas.microsoft.com/office/drawing/2014/main" id="{3447413D-B10B-7883-BD1B-31291C5DD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7524" name="Object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ECABF372-2604-1AB8-2D5F-7D9E3ACC8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7525" name="Object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DA8A1F7C-4143-C31B-6876-4293DF5DA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7527" name="Object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7C419E5D-5220-C236-62B2-A02A81537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7528" name="Object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6E200E64-AEE7-0ECA-416F-ACF409E3D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7530" name="Object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CAB738AA-FA02-C460-E6DD-FF8011046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7531" name="Object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2CC1B64B-DE50-FE93-CBCF-DAA6F3218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7532" name="Object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FBB3D938-025E-FFEF-9DFD-66DB27917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7533" name="Object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201E14D2-A937-93E4-D71E-78871DDD5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7534" name="Object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C93536E1-0F8E-6FB2-614F-42AB2C0F1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7535" name="Object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D7E2D99E-557E-C6B2-53B6-41B410B75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6" name="Object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B710F588-3144-2551-CB55-C24346054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37" name="Object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2A958008-493A-05E7-6ECA-8AFBBAD4A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693420</xdr:colOff>
          <xdr:row>10</xdr:row>
          <xdr:rowOff>15240</xdr:rowOff>
        </xdr:from>
        <xdr:to>
          <xdr:col>2</xdr:col>
          <xdr:colOff>76200</xdr:colOff>
          <xdr:row>12</xdr:row>
          <xdr:rowOff>228600</xdr:rowOff>
        </xdr:to>
        <xdr:sp macro="" textlink="">
          <xdr:nvSpPr>
            <xdr:cNvPr id="107538" name="Object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F82DD947-6BE4-8713-6CEB-A29B02355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9" name="Object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99D1C26D-49F6-1149-61CF-B41ADF773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7540" name="Object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6009799D-6B93-48BD-E040-D3BA1EA24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41" name="Object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1DFA62FD-69DE-CB1A-90CF-1DF54B41A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2" name="Object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1CA31AC7-6852-0432-4C6C-5604E4AD7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3" name="Object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59BB32D4-77E7-CA56-10FF-CA54DD0A1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4" name="Object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635B596D-6EAE-1B6C-13D6-15B4F7AF5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7545" name="Object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96C14604-8351-F624-2378-0E5798DD9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6" name="Object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01392CA4-9D6A-A8BB-41A8-940D2CAE9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8915" name="4 Imagen">
          <a:extLst>
            <a:ext uri="{FF2B5EF4-FFF2-40B4-BE49-F238E27FC236}">
              <a16:creationId xmlns:a16="http://schemas.microsoft.com/office/drawing/2014/main" id="{4EFA66FF-1105-BC9D-7C6A-86FDEF460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399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  <a:ext uri="{FF2B5EF4-FFF2-40B4-BE49-F238E27FC236}">
                  <a16:creationId xmlns:a16="http://schemas.microsoft.com/office/drawing/2014/main" id="{A4EB3C0B-AD58-1AD3-A827-A9BB7AB21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8546" name="Object 2" hidden="1">
              <a:extLst>
                <a:ext uri="{63B3BB69-23CF-44E3-9099-C40C66FF867C}">
                  <a14:compatExt spid="_x0000_s108546"/>
                </a:ext>
                <a:ext uri="{FF2B5EF4-FFF2-40B4-BE49-F238E27FC236}">
                  <a16:creationId xmlns:a16="http://schemas.microsoft.com/office/drawing/2014/main" id="{89CA471C-F1E8-6417-C360-BF372E959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8547" name="Object 3" hidden="1">
              <a:extLst>
                <a:ext uri="{63B3BB69-23CF-44E3-9099-C40C66FF867C}">
                  <a14:compatExt spid="_x0000_s108547"/>
                </a:ext>
                <a:ext uri="{FF2B5EF4-FFF2-40B4-BE49-F238E27FC236}">
                  <a16:creationId xmlns:a16="http://schemas.microsoft.com/office/drawing/2014/main" id="{07D1A40B-955C-8363-CC62-B50C3BA47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8916" name="6 Imagen">
          <a:extLst>
            <a:ext uri="{FF2B5EF4-FFF2-40B4-BE49-F238E27FC236}">
              <a16:creationId xmlns:a16="http://schemas.microsoft.com/office/drawing/2014/main" id="{10DD20C6-A463-9DE1-B874-770FC6455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95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8548" name="Object 4" hidden="1">
              <a:extLst>
                <a:ext uri="{63B3BB69-23CF-44E3-9099-C40C66FF867C}">
                  <a14:compatExt spid="_x0000_s108548"/>
                </a:ext>
                <a:ext uri="{FF2B5EF4-FFF2-40B4-BE49-F238E27FC236}">
                  <a16:creationId xmlns:a16="http://schemas.microsoft.com/office/drawing/2014/main" id="{0C8EFC53-3946-4642-65FA-A6C7DE76A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8549" name="Object 5" hidden="1">
              <a:extLst>
                <a:ext uri="{63B3BB69-23CF-44E3-9099-C40C66FF867C}">
                  <a14:compatExt spid="_x0000_s108549"/>
                </a:ext>
                <a:ext uri="{FF2B5EF4-FFF2-40B4-BE49-F238E27FC236}">
                  <a16:creationId xmlns:a16="http://schemas.microsoft.com/office/drawing/2014/main" id="{3BFC839E-FA13-3001-89BF-6F106AFA5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8551" name="Object 7" hidden="1">
              <a:extLst>
                <a:ext uri="{63B3BB69-23CF-44E3-9099-C40C66FF867C}">
                  <a14:compatExt spid="_x0000_s108551"/>
                </a:ext>
                <a:ext uri="{FF2B5EF4-FFF2-40B4-BE49-F238E27FC236}">
                  <a16:creationId xmlns:a16="http://schemas.microsoft.com/office/drawing/2014/main" id="{7E90AE38-DB16-D1D9-19FF-EFD1A50F4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8552" name="Object 8" hidden="1">
              <a:extLst>
                <a:ext uri="{63B3BB69-23CF-44E3-9099-C40C66FF867C}">
                  <a14:compatExt spid="_x0000_s108552"/>
                </a:ext>
                <a:ext uri="{FF2B5EF4-FFF2-40B4-BE49-F238E27FC236}">
                  <a16:creationId xmlns:a16="http://schemas.microsoft.com/office/drawing/2014/main" id="{9B3AD228-4F47-08A2-270B-7BBA0BFD0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8554" name="Object 10" hidden="1">
              <a:extLst>
                <a:ext uri="{63B3BB69-23CF-44E3-9099-C40C66FF867C}">
                  <a14:compatExt spid="_x0000_s108554"/>
                </a:ext>
                <a:ext uri="{FF2B5EF4-FFF2-40B4-BE49-F238E27FC236}">
                  <a16:creationId xmlns:a16="http://schemas.microsoft.com/office/drawing/2014/main" id="{2FAF8D6C-7906-0CBF-5C03-F4B51BFB5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8555" name="Object 11" hidden="1">
              <a:extLst>
                <a:ext uri="{63B3BB69-23CF-44E3-9099-C40C66FF867C}">
                  <a14:compatExt spid="_x0000_s108555"/>
                </a:ext>
                <a:ext uri="{FF2B5EF4-FFF2-40B4-BE49-F238E27FC236}">
                  <a16:creationId xmlns:a16="http://schemas.microsoft.com/office/drawing/2014/main" id="{00B6A564-1861-571F-8638-F03B202B3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8556" name="Object 12" hidden="1">
              <a:extLst>
                <a:ext uri="{63B3BB69-23CF-44E3-9099-C40C66FF867C}">
                  <a14:compatExt spid="_x0000_s108556"/>
                </a:ext>
                <a:ext uri="{FF2B5EF4-FFF2-40B4-BE49-F238E27FC236}">
                  <a16:creationId xmlns:a16="http://schemas.microsoft.com/office/drawing/2014/main" id="{A9B1CDB8-96F7-16A1-FB7B-375D68DB4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8557" name="Object 13" hidden="1">
              <a:extLst>
                <a:ext uri="{63B3BB69-23CF-44E3-9099-C40C66FF867C}">
                  <a14:compatExt spid="_x0000_s108557"/>
                </a:ext>
                <a:ext uri="{FF2B5EF4-FFF2-40B4-BE49-F238E27FC236}">
                  <a16:creationId xmlns:a16="http://schemas.microsoft.com/office/drawing/2014/main" id="{C2A70402-71EE-CC01-1E8D-DBC24E888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8558" name="Object 14" hidden="1">
              <a:extLst>
                <a:ext uri="{63B3BB69-23CF-44E3-9099-C40C66FF867C}">
                  <a14:compatExt spid="_x0000_s108558"/>
                </a:ext>
                <a:ext uri="{FF2B5EF4-FFF2-40B4-BE49-F238E27FC236}">
                  <a16:creationId xmlns:a16="http://schemas.microsoft.com/office/drawing/2014/main" id="{E551D392-2896-0912-1A8C-B2DDED9AF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8559" name="Object 15" hidden="1">
              <a:extLst>
                <a:ext uri="{63B3BB69-23CF-44E3-9099-C40C66FF867C}">
                  <a14:compatExt spid="_x0000_s108559"/>
                </a:ext>
                <a:ext uri="{FF2B5EF4-FFF2-40B4-BE49-F238E27FC236}">
                  <a16:creationId xmlns:a16="http://schemas.microsoft.com/office/drawing/2014/main" id="{06D7C4DC-2F7D-EB70-FDF6-969695E0E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0" name="Object 16" hidden="1">
              <a:extLst>
                <a:ext uri="{63B3BB69-23CF-44E3-9099-C40C66FF867C}">
                  <a14:compatExt spid="_x0000_s108560"/>
                </a:ext>
                <a:ext uri="{FF2B5EF4-FFF2-40B4-BE49-F238E27FC236}">
                  <a16:creationId xmlns:a16="http://schemas.microsoft.com/office/drawing/2014/main" id="{53BAA1F9-1F90-C22F-5D49-DAC9695F5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1" name="Object 17" hidden="1">
              <a:extLst>
                <a:ext uri="{63B3BB69-23CF-44E3-9099-C40C66FF867C}">
                  <a14:compatExt spid="_x0000_s108561"/>
                </a:ext>
                <a:ext uri="{FF2B5EF4-FFF2-40B4-BE49-F238E27FC236}">
                  <a16:creationId xmlns:a16="http://schemas.microsoft.com/office/drawing/2014/main" id="{83BA79D5-DC3F-B17E-E2C5-F96D35538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9</xdr:row>
          <xdr:rowOff>53340</xdr:rowOff>
        </xdr:from>
        <xdr:to>
          <xdr:col>2</xdr:col>
          <xdr:colOff>99060</xdr:colOff>
          <xdr:row>12</xdr:row>
          <xdr:rowOff>228600</xdr:rowOff>
        </xdr:to>
        <xdr:sp macro="" textlink="">
          <xdr:nvSpPr>
            <xdr:cNvPr id="108562" name="Object 18" hidden="1">
              <a:extLst>
                <a:ext uri="{63B3BB69-23CF-44E3-9099-C40C66FF867C}">
                  <a14:compatExt spid="_x0000_s108562"/>
                </a:ext>
                <a:ext uri="{FF2B5EF4-FFF2-40B4-BE49-F238E27FC236}">
                  <a16:creationId xmlns:a16="http://schemas.microsoft.com/office/drawing/2014/main" id="{01644372-EA0B-9F6F-149F-7EF75AB10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3" name="Object 19" hidden="1">
              <a:extLst>
                <a:ext uri="{63B3BB69-23CF-44E3-9099-C40C66FF867C}">
                  <a14:compatExt spid="_x0000_s108563"/>
                </a:ext>
                <a:ext uri="{FF2B5EF4-FFF2-40B4-BE49-F238E27FC236}">
                  <a16:creationId xmlns:a16="http://schemas.microsoft.com/office/drawing/2014/main" id="{3C5A599D-2C78-6E78-0767-96B1D66DC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8564" name="Object 20" hidden="1">
              <a:extLst>
                <a:ext uri="{63B3BB69-23CF-44E3-9099-C40C66FF867C}">
                  <a14:compatExt spid="_x0000_s108564"/>
                </a:ext>
                <a:ext uri="{FF2B5EF4-FFF2-40B4-BE49-F238E27FC236}">
                  <a16:creationId xmlns:a16="http://schemas.microsoft.com/office/drawing/2014/main" id="{5C093F16-BA31-2802-AA9E-FA52B9D61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5" name="Object 21" hidden="1">
              <a:extLst>
                <a:ext uri="{63B3BB69-23CF-44E3-9099-C40C66FF867C}">
                  <a14:compatExt spid="_x0000_s108565"/>
                </a:ext>
                <a:ext uri="{FF2B5EF4-FFF2-40B4-BE49-F238E27FC236}">
                  <a16:creationId xmlns:a16="http://schemas.microsoft.com/office/drawing/2014/main" id="{C2C3B649-FBA6-6FDE-463D-8F37CD6A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6" name="Object 22" hidden="1">
              <a:extLst>
                <a:ext uri="{63B3BB69-23CF-44E3-9099-C40C66FF867C}">
                  <a14:compatExt spid="_x0000_s108566"/>
                </a:ext>
                <a:ext uri="{FF2B5EF4-FFF2-40B4-BE49-F238E27FC236}">
                  <a16:creationId xmlns:a16="http://schemas.microsoft.com/office/drawing/2014/main" id="{AB62C5CF-AC98-E294-5151-7BAD1D61E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67" name="Object 23" hidden="1">
              <a:extLst>
                <a:ext uri="{63B3BB69-23CF-44E3-9099-C40C66FF867C}">
                  <a14:compatExt spid="_x0000_s108567"/>
                </a:ext>
                <a:ext uri="{FF2B5EF4-FFF2-40B4-BE49-F238E27FC236}">
                  <a16:creationId xmlns:a16="http://schemas.microsoft.com/office/drawing/2014/main" id="{FA1464A1-8A8D-D4C4-799E-C0E520551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8" name="Object 24" hidden="1">
              <a:extLst>
                <a:ext uri="{63B3BB69-23CF-44E3-9099-C40C66FF867C}">
                  <a14:compatExt spid="_x0000_s108568"/>
                </a:ext>
                <a:ext uri="{FF2B5EF4-FFF2-40B4-BE49-F238E27FC236}">
                  <a16:creationId xmlns:a16="http://schemas.microsoft.com/office/drawing/2014/main" id="{8A0FF419-B229-2064-2D04-45FB48A28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8569" name="Object 25" hidden="1">
              <a:extLst>
                <a:ext uri="{63B3BB69-23CF-44E3-9099-C40C66FF867C}">
                  <a14:compatExt spid="_x0000_s108569"/>
                </a:ext>
                <a:ext uri="{FF2B5EF4-FFF2-40B4-BE49-F238E27FC236}">
                  <a16:creationId xmlns:a16="http://schemas.microsoft.com/office/drawing/2014/main" id="{4B4644D3-6748-8F39-5643-250D7A58B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70" name="Object 26" hidden="1">
              <a:extLst>
                <a:ext uri="{63B3BB69-23CF-44E3-9099-C40C66FF867C}">
                  <a14:compatExt spid="_x0000_s108570"/>
                </a:ext>
                <a:ext uri="{FF2B5EF4-FFF2-40B4-BE49-F238E27FC236}">
                  <a16:creationId xmlns:a16="http://schemas.microsoft.com/office/drawing/2014/main" id="{213D410C-69DF-F99B-5C1B-DD29FBB2D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9939" name="4 Imagen">
          <a:extLst>
            <a:ext uri="{FF2B5EF4-FFF2-40B4-BE49-F238E27FC236}">
              <a16:creationId xmlns:a16="http://schemas.microsoft.com/office/drawing/2014/main" id="{67154370-CC9E-D2FC-B5D9-9DB6D66E6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424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8F918DD2-005E-F273-CCB7-D74441D6E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9570" name="Object 2" hidden="1">
              <a:extLst>
                <a:ext uri="{63B3BB69-23CF-44E3-9099-C40C66FF867C}">
                  <a14:compatExt spid="_x0000_s109570"/>
                </a:ext>
                <a:ext uri="{FF2B5EF4-FFF2-40B4-BE49-F238E27FC236}">
                  <a16:creationId xmlns:a16="http://schemas.microsoft.com/office/drawing/2014/main" id="{B7B6DA06-3712-CC52-B07C-296EA0458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9571" name="Object 3" hidden="1">
              <a:extLst>
                <a:ext uri="{63B3BB69-23CF-44E3-9099-C40C66FF867C}">
                  <a14:compatExt spid="_x0000_s109571"/>
                </a:ext>
                <a:ext uri="{FF2B5EF4-FFF2-40B4-BE49-F238E27FC236}">
                  <a16:creationId xmlns:a16="http://schemas.microsoft.com/office/drawing/2014/main" id="{F67C5C3B-C45A-0874-1FF7-4715B9831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9940" name="6 Imagen">
          <a:extLst>
            <a:ext uri="{FF2B5EF4-FFF2-40B4-BE49-F238E27FC236}">
              <a16:creationId xmlns:a16="http://schemas.microsoft.com/office/drawing/2014/main" id="{BEADA827-628C-A281-6DAA-24810C9A3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386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9572" name="Object 4" hidden="1">
              <a:extLst>
                <a:ext uri="{63B3BB69-23CF-44E3-9099-C40C66FF867C}">
                  <a14:compatExt spid="_x0000_s109572"/>
                </a:ext>
                <a:ext uri="{FF2B5EF4-FFF2-40B4-BE49-F238E27FC236}">
                  <a16:creationId xmlns:a16="http://schemas.microsoft.com/office/drawing/2014/main" id="{DFEAC008-6C64-77B0-9AAA-45CC494B5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9573" name="Object 5" hidden="1">
              <a:extLst>
                <a:ext uri="{63B3BB69-23CF-44E3-9099-C40C66FF867C}">
                  <a14:compatExt spid="_x0000_s109573"/>
                </a:ext>
                <a:ext uri="{FF2B5EF4-FFF2-40B4-BE49-F238E27FC236}">
                  <a16:creationId xmlns:a16="http://schemas.microsoft.com/office/drawing/2014/main" id="{984159F6-A052-63E5-1F6E-D835C9EEA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9575" name="Object 7" hidden="1">
              <a:extLst>
                <a:ext uri="{63B3BB69-23CF-44E3-9099-C40C66FF867C}">
                  <a14:compatExt spid="_x0000_s109575"/>
                </a:ext>
                <a:ext uri="{FF2B5EF4-FFF2-40B4-BE49-F238E27FC236}">
                  <a16:creationId xmlns:a16="http://schemas.microsoft.com/office/drawing/2014/main" id="{C66E6C89-129D-973A-9EB5-2F4F1B046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9576" name="Object 8" hidden="1">
              <a:extLst>
                <a:ext uri="{63B3BB69-23CF-44E3-9099-C40C66FF867C}">
                  <a14:compatExt spid="_x0000_s109576"/>
                </a:ext>
                <a:ext uri="{FF2B5EF4-FFF2-40B4-BE49-F238E27FC236}">
                  <a16:creationId xmlns:a16="http://schemas.microsoft.com/office/drawing/2014/main" id="{A628B760-0236-997A-E640-FD33EA6BF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9578" name="Object 10" hidden="1">
              <a:extLst>
                <a:ext uri="{63B3BB69-23CF-44E3-9099-C40C66FF867C}">
                  <a14:compatExt spid="_x0000_s109578"/>
                </a:ext>
                <a:ext uri="{FF2B5EF4-FFF2-40B4-BE49-F238E27FC236}">
                  <a16:creationId xmlns:a16="http://schemas.microsoft.com/office/drawing/2014/main" id="{C94C41A7-008E-B83D-BED0-941EA07CE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9579" name="Object 11" hidden="1">
              <a:extLst>
                <a:ext uri="{63B3BB69-23CF-44E3-9099-C40C66FF867C}">
                  <a14:compatExt spid="_x0000_s109579"/>
                </a:ext>
                <a:ext uri="{FF2B5EF4-FFF2-40B4-BE49-F238E27FC236}">
                  <a16:creationId xmlns:a16="http://schemas.microsoft.com/office/drawing/2014/main" id="{7D674544-046D-8748-1D3A-0C7687EC7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9580" name="Object 12" hidden="1">
              <a:extLst>
                <a:ext uri="{63B3BB69-23CF-44E3-9099-C40C66FF867C}">
                  <a14:compatExt spid="_x0000_s109580"/>
                </a:ext>
                <a:ext uri="{FF2B5EF4-FFF2-40B4-BE49-F238E27FC236}">
                  <a16:creationId xmlns:a16="http://schemas.microsoft.com/office/drawing/2014/main" id="{F3253FCF-E10E-43E3-6312-6234DE2CF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9581" name="Object 13" hidden="1">
              <a:extLst>
                <a:ext uri="{63B3BB69-23CF-44E3-9099-C40C66FF867C}">
                  <a14:compatExt spid="_x0000_s109581"/>
                </a:ext>
                <a:ext uri="{FF2B5EF4-FFF2-40B4-BE49-F238E27FC236}">
                  <a16:creationId xmlns:a16="http://schemas.microsoft.com/office/drawing/2014/main" id="{964C313E-54C4-FFCF-8B4E-F14552913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9582" name="Object 14" hidden="1">
              <a:extLst>
                <a:ext uri="{63B3BB69-23CF-44E3-9099-C40C66FF867C}">
                  <a14:compatExt spid="_x0000_s109582"/>
                </a:ext>
                <a:ext uri="{FF2B5EF4-FFF2-40B4-BE49-F238E27FC236}">
                  <a16:creationId xmlns:a16="http://schemas.microsoft.com/office/drawing/2014/main" id="{AA7E8418-3F69-36FA-16BF-8A61BEEDB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9583" name="Object 15" hidden="1">
              <a:extLst>
                <a:ext uri="{63B3BB69-23CF-44E3-9099-C40C66FF867C}">
                  <a14:compatExt spid="_x0000_s109583"/>
                </a:ext>
                <a:ext uri="{FF2B5EF4-FFF2-40B4-BE49-F238E27FC236}">
                  <a16:creationId xmlns:a16="http://schemas.microsoft.com/office/drawing/2014/main" id="{46C34CB1-4E43-A396-2161-E103E5817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4" name="Object 16" hidden="1">
              <a:extLst>
                <a:ext uri="{63B3BB69-23CF-44E3-9099-C40C66FF867C}">
                  <a14:compatExt spid="_x0000_s109584"/>
                </a:ext>
                <a:ext uri="{FF2B5EF4-FFF2-40B4-BE49-F238E27FC236}">
                  <a16:creationId xmlns:a16="http://schemas.microsoft.com/office/drawing/2014/main" id="{B64EFB86-5CB8-6566-29CD-D8F41BB8F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5" name="Object 17" hidden="1">
              <a:extLst>
                <a:ext uri="{63B3BB69-23CF-44E3-9099-C40C66FF867C}">
                  <a14:compatExt spid="_x0000_s109585"/>
                </a:ext>
                <a:ext uri="{FF2B5EF4-FFF2-40B4-BE49-F238E27FC236}">
                  <a16:creationId xmlns:a16="http://schemas.microsoft.com/office/drawing/2014/main" id="{509F7110-DEF6-DCE1-6F5D-84FB89547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8</xdr:row>
          <xdr:rowOff>160020</xdr:rowOff>
        </xdr:from>
        <xdr:to>
          <xdr:col>2</xdr:col>
          <xdr:colOff>68580</xdr:colOff>
          <xdr:row>12</xdr:row>
          <xdr:rowOff>45720</xdr:rowOff>
        </xdr:to>
        <xdr:sp macro="" textlink="">
          <xdr:nvSpPr>
            <xdr:cNvPr id="109586" name="Object 18" hidden="1">
              <a:extLst>
                <a:ext uri="{63B3BB69-23CF-44E3-9099-C40C66FF867C}">
                  <a14:compatExt spid="_x0000_s109586"/>
                </a:ext>
                <a:ext uri="{FF2B5EF4-FFF2-40B4-BE49-F238E27FC236}">
                  <a16:creationId xmlns:a16="http://schemas.microsoft.com/office/drawing/2014/main" id="{F6030D2E-5595-638B-B4DB-624E7AC41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7" name="Object 19" hidden="1">
              <a:extLst>
                <a:ext uri="{63B3BB69-23CF-44E3-9099-C40C66FF867C}">
                  <a14:compatExt spid="_x0000_s109587"/>
                </a:ext>
                <a:ext uri="{FF2B5EF4-FFF2-40B4-BE49-F238E27FC236}">
                  <a16:creationId xmlns:a16="http://schemas.microsoft.com/office/drawing/2014/main" id="{593958D7-D69C-29AD-2CF7-F011F19DB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9588" name="Object 20" hidden="1">
              <a:extLst>
                <a:ext uri="{63B3BB69-23CF-44E3-9099-C40C66FF867C}">
                  <a14:compatExt spid="_x0000_s109588"/>
                </a:ext>
                <a:ext uri="{FF2B5EF4-FFF2-40B4-BE49-F238E27FC236}">
                  <a16:creationId xmlns:a16="http://schemas.microsoft.com/office/drawing/2014/main" id="{604DA87B-4994-5BF3-162B-8A8E89251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9" name="Object 21" hidden="1">
              <a:extLst>
                <a:ext uri="{63B3BB69-23CF-44E3-9099-C40C66FF867C}">
                  <a14:compatExt spid="_x0000_s109589"/>
                </a:ext>
                <a:ext uri="{FF2B5EF4-FFF2-40B4-BE49-F238E27FC236}">
                  <a16:creationId xmlns:a16="http://schemas.microsoft.com/office/drawing/2014/main" id="{3E10F6FD-0242-85E4-C8CC-332BCE002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0" name="Object 22" hidden="1">
              <a:extLst>
                <a:ext uri="{63B3BB69-23CF-44E3-9099-C40C66FF867C}">
                  <a14:compatExt spid="_x0000_s109590"/>
                </a:ext>
                <a:ext uri="{FF2B5EF4-FFF2-40B4-BE49-F238E27FC236}">
                  <a16:creationId xmlns:a16="http://schemas.microsoft.com/office/drawing/2014/main" id="{E3AF0443-C7A8-5D69-2C18-614D4A95E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1" name="Object 23" hidden="1">
              <a:extLst>
                <a:ext uri="{63B3BB69-23CF-44E3-9099-C40C66FF867C}">
                  <a14:compatExt spid="_x0000_s109591"/>
                </a:ext>
                <a:ext uri="{FF2B5EF4-FFF2-40B4-BE49-F238E27FC236}">
                  <a16:creationId xmlns:a16="http://schemas.microsoft.com/office/drawing/2014/main" id="{1EB94091-A3B4-55AC-5807-433144CE2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2" name="Object 24" hidden="1">
              <a:extLst>
                <a:ext uri="{63B3BB69-23CF-44E3-9099-C40C66FF867C}">
                  <a14:compatExt spid="_x0000_s109592"/>
                </a:ext>
                <a:ext uri="{FF2B5EF4-FFF2-40B4-BE49-F238E27FC236}">
                  <a16:creationId xmlns:a16="http://schemas.microsoft.com/office/drawing/2014/main" id="{0A0BC862-99A4-662A-2C51-B29181592E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9593" name="Object 25" hidden="1">
              <a:extLst>
                <a:ext uri="{63B3BB69-23CF-44E3-9099-C40C66FF867C}">
                  <a14:compatExt spid="_x0000_s109593"/>
                </a:ext>
                <a:ext uri="{FF2B5EF4-FFF2-40B4-BE49-F238E27FC236}">
                  <a16:creationId xmlns:a16="http://schemas.microsoft.com/office/drawing/2014/main" id="{A57360E0-C767-0F99-A2A9-0267204DA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4" name="Object 26" hidden="1">
              <a:extLst>
                <a:ext uri="{63B3BB69-23CF-44E3-9099-C40C66FF867C}">
                  <a14:compatExt spid="_x0000_s109594"/>
                </a:ext>
                <a:ext uri="{FF2B5EF4-FFF2-40B4-BE49-F238E27FC236}">
                  <a16:creationId xmlns:a16="http://schemas.microsoft.com/office/drawing/2014/main" id="{9A9ED7EF-AE4E-E83B-6F5D-2F99B2A0C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Guevooooo/Downloads/calculo%20balon%20de%2010%20ml%20kima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20\Dentro%20del%20Alcance\Balanza\NI-R02-MCIT-B-01%20Procesamiento%20de%20datos%20calibracion%20equipos%20de%20pesaje%202020-03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unto 1"/>
      <sheetName val="punto 2"/>
      <sheetName val="punto 3"/>
      <sheetName val="punto 4"/>
      <sheetName val="punto 5"/>
    </sheetNames>
    <sheetDataSet>
      <sheetData sheetId="0">
        <row r="25">
          <cell r="N25">
            <v>17.8</v>
          </cell>
          <cell r="O25">
            <v>18.2</v>
          </cell>
        </row>
        <row r="26">
          <cell r="D26">
            <v>26.667899999999999</v>
          </cell>
          <cell r="E26">
            <v>16.693300000000001</v>
          </cell>
          <cell r="F26">
            <v>17.689</v>
          </cell>
          <cell r="N26">
            <v>50.8</v>
          </cell>
          <cell r="O26">
            <v>53</v>
          </cell>
        </row>
        <row r="27">
          <cell r="D27">
            <v>26.6678</v>
          </cell>
          <cell r="E27">
            <v>16.693300000000001</v>
          </cell>
          <cell r="F27">
            <v>17.673999999999999</v>
          </cell>
          <cell r="N27">
            <v>99970</v>
          </cell>
          <cell r="O27">
            <v>99950</v>
          </cell>
        </row>
        <row r="28">
          <cell r="D28">
            <v>26.667899999999999</v>
          </cell>
          <cell r="E28">
            <v>16.693200000000001</v>
          </cell>
          <cell r="F28">
            <v>17.673999999999999</v>
          </cell>
        </row>
        <row r="29">
          <cell r="D29">
            <v>26.667899999999999</v>
          </cell>
          <cell r="E29">
            <v>16.693300000000001</v>
          </cell>
          <cell r="F29">
            <v>17.683</v>
          </cell>
        </row>
        <row r="30">
          <cell r="D30">
            <v>26.667899999999999</v>
          </cell>
          <cell r="E30">
            <v>16.693300000000001</v>
          </cell>
          <cell r="F30">
            <v>17.684999999999999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 refreshError="1">
        <row r="3">
          <cell r="F3" t="str">
            <v>NI-MC-B-XXX-2020</v>
          </cell>
          <cell r="L3" t="str">
            <v xml:space="preserve">A &amp; T Nicaragua, S.A.                                       </v>
          </cell>
        </row>
        <row r="4">
          <cell r="F4" t="str">
            <v>NI-CS-075-17</v>
          </cell>
          <cell r="L4" t="str">
            <v xml:space="preserve">Coyotepe, 800 m norte               </v>
          </cell>
        </row>
        <row r="5">
          <cell r="F5" t="str">
            <v>2019-02-21</v>
          </cell>
          <cell r="L5" t="str">
            <v>Nicaragua, Managua, Bello Horizonte VI Etapa, Casa #135.</v>
          </cell>
        </row>
        <row r="6">
          <cell r="F6" t="str">
            <v>002456635</v>
          </cell>
        </row>
        <row r="7">
          <cell r="F7" t="str">
            <v>Balanza Digital</v>
          </cell>
        </row>
        <row r="8">
          <cell r="F8" t="str">
            <v>gtergd</v>
          </cell>
          <cell r="I8">
            <v>21.3</v>
          </cell>
        </row>
        <row r="9">
          <cell r="F9" t="str">
            <v>346asd</v>
          </cell>
          <cell r="I9">
            <v>0.42</v>
          </cell>
        </row>
        <row r="10">
          <cell r="F10" t="str">
            <v>54654asd</v>
          </cell>
        </row>
        <row r="12">
          <cell r="F12" t="str">
            <v>0 g a 100 g</v>
          </cell>
        </row>
        <row r="13">
          <cell r="I13">
            <v>49.35</v>
          </cell>
        </row>
        <row r="14">
          <cell r="F14" t="str">
            <v>0,01 g</v>
          </cell>
          <cell r="I14">
            <v>1.3</v>
          </cell>
        </row>
        <row r="18">
          <cell r="I18">
            <v>1001</v>
          </cell>
        </row>
        <row r="19">
          <cell r="I19">
            <v>10</v>
          </cell>
        </row>
      </sheetData>
      <sheetData sheetId="1" refreshError="1">
        <row r="4">
          <cell r="CP4" t="str">
            <v>Descripción</v>
          </cell>
          <cell r="CR4" t="str">
            <v>Marca</v>
          </cell>
          <cell r="CT4" t="str">
            <v>Trazabilidad</v>
          </cell>
          <cell r="CU4" t="str">
            <v>Próx. Calibr.</v>
          </cell>
        </row>
        <row r="11">
          <cell r="CP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</row>
        <row r="12">
          <cell r="CP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</row>
        <row r="13">
          <cell r="CP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</row>
        <row r="14">
          <cell r="CP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</row>
        <row r="15">
          <cell r="C15" t="str">
            <v>g</v>
          </cell>
          <cell r="CP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</row>
        <row r="16">
          <cell r="CP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</row>
        <row r="17">
          <cell r="CP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</row>
        <row r="18">
          <cell r="CP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</row>
        <row r="19">
          <cell r="CP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</row>
        <row r="20">
          <cell r="CP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</row>
        <row r="21">
          <cell r="CP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</row>
        <row r="22">
          <cell r="CP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</row>
        <row r="23">
          <cell r="CP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</row>
        <row r="24">
          <cell r="CP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</row>
        <row r="25">
          <cell r="CP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</row>
        <row r="45">
          <cell r="G45">
            <v>0</v>
          </cell>
        </row>
        <row r="52">
          <cell r="C52">
            <v>0</v>
          </cell>
        </row>
      </sheetData>
      <sheetData sheetId="2" refreshError="1">
        <row r="4">
          <cell r="G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C7092D-4574-485B-A6AA-35BC368C18A7}" name="tblClientes15" displayName="tblClientes15" ref="A4:C386" totalsRowShown="0">
  <sortState xmlns:xlrd2="http://schemas.microsoft.com/office/spreadsheetml/2017/richdata2" ref="A5:C189">
    <sortCondition ref="B6:B190"/>
  </sortState>
  <tableColumns count="3">
    <tableColumn id="1" xr3:uid="{00000000-0010-0000-0100-000001000000}" name="Clave" dataDxfId="24"/>
    <tableColumn id="2" xr3:uid="{00000000-0010-0000-0100-000002000000}" name="Cliente" dataDxfId="23"/>
    <tableColumn id="3" xr3:uid="{00000000-0010-0000-0100-000003000000}" name="Dirección de la empresa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retecsa.com.ni/" TargetMode="External"/><Relationship Id="rId1" Type="http://schemas.openxmlformats.org/officeDocument/2006/relationships/hyperlink" Target="mailto:tabacosdelso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9.emf"/><Relationship Id="rId21" Type="http://schemas.openxmlformats.org/officeDocument/2006/relationships/oleObject" Target="../embeddings/oleObject11.bin"/><Relationship Id="rId34" Type="http://schemas.openxmlformats.org/officeDocument/2006/relationships/image" Target="../media/image17.emf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image" Target="../media/image11.emf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6.bin"/><Relationship Id="rId41" Type="http://schemas.openxmlformats.org/officeDocument/2006/relationships/image" Target="../media/image20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9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8.emf"/><Relationship Id="rId40" Type="http://schemas.openxmlformats.org/officeDocument/2006/relationships/oleObject" Target="../embeddings/oleObject23.bin"/><Relationship Id="rId5" Type="http://schemas.openxmlformats.org/officeDocument/2006/relationships/image" Target="../media/image6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5.emf"/><Relationship Id="rId36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12.emf"/><Relationship Id="rId31" Type="http://schemas.openxmlformats.org/officeDocument/2006/relationships/image" Target="../media/image16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13.emf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0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14.wmf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9.bin"/><Relationship Id="rId18" Type="http://schemas.openxmlformats.org/officeDocument/2006/relationships/image" Target="../media/image25.emf"/><Relationship Id="rId26" Type="http://schemas.openxmlformats.org/officeDocument/2006/relationships/oleObject" Target="../embeddings/oleObject38.bin"/><Relationship Id="rId39" Type="http://schemas.openxmlformats.org/officeDocument/2006/relationships/comments" Target="../comments1.xml"/><Relationship Id="rId21" Type="http://schemas.openxmlformats.org/officeDocument/2006/relationships/oleObject" Target="../embeddings/oleObject34.bin"/><Relationship Id="rId34" Type="http://schemas.openxmlformats.org/officeDocument/2006/relationships/oleObject" Target="../embeddings/oleObject44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23.emf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3.bin"/><Relationship Id="rId38" Type="http://schemas.openxmlformats.org/officeDocument/2006/relationships/oleObject" Target="../embeddings/oleObject47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31.bin"/><Relationship Id="rId20" Type="http://schemas.openxmlformats.org/officeDocument/2006/relationships/image" Target="../media/image16.emf"/><Relationship Id="rId29" Type="http://schemas.openxmlformats.org/officeDocument/2006/relationships/oleObject" Target="../embeddings/oleObject40.bin"/><Relationship Id="rId1" Type="http://schemas.openxmlformats.org/officeDocument/2006/relationships/drawing" Target="../drawings/drawing3.xml"/><Relationship Id="rId6" Type="http://schemas.openxmlformats.org/officeDocument/2006/relationships/image" Target="../media/image7.emf"/><Relationship Id="rId11" Type="http://schemas.openxmlformats.org/officeDocument/2006/relationships/oleObject" Target="../embeddings/oleObject28.bin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2.bin"/><Relationship Id="rId37" Type="http://schemas.openxmlformats.org/officeDocument/2006/relationships/image" Target="../media/image17.emf"/><Relationship Id="rId5" Type="http://schemas.openxmlformats.org/officeDocument/2006/relationships/oleObject" Target="../embeddings/oleObject25.bin"/><Relationship Id="rId15" Type="http://schemas.openxmlformats.org/officeDocument/2006/relationships/image" Target="../media/image24.emf"/><Relationship Id="rId23" Type="http://schemas.openxmlformats.org/officeDocument/2006/relationships/image" Target="../media/image26.emf"/><Relationship Id="rId28" Type="http://schemas.openxmlformats.org/officeDocument/2006/relationships/image" Target="../media/image14.wmf"/><Relationship Id="rId36" Type="http://schemas.openxmlformats.org/officeDocument/2006/relationships/oleObject" Target="../embeddings/oleObject46.bin"/><Relationship Id="rId10" Type="http://schemas.openxmlformats.org/officeDocument/2006/relationships/image" Target="../media/image9.wmf"/><Relationship Id="rId19" Type="http://schemas.openxmlformats.org/officeDocument/2006/relationships/oleObject" Target="../embeddings/oleObject33.bin"/><Relationship Id="rId31" Type="http://schemas.openxmlformats.org/officeDocument/2006/relationships/image" Target="../media/image15.emf"/><Relationship Id="rId4" Type="http://schemas.openxmlformats.org/officeDocument/2006/relationships/image" Target="../media/image6.emf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0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39.bin"/><Relationship Id="rId30" Type="http://schemas.openxmlformats.org/officeDocument/2006/relationships/oleObject" Target="../embeddings/oleObject41.bin"/><Relationship Id="rId35" Type="http://schemas.openxmlformats.org/officeDocument/2006/relationships/oleObject" Target="../embeddings/oleObject45.bin"/><Relationship Id="rId8" Type="http://schemas.openxmlformats.org/officeDocument/2006/relationships/image" Target="../media/image8.emf"/><Relationship Id="rId3" Type="http://schemas.openxmlformats.org/officeDocument/2006/relationships/oleObject" Target="../embeddings/oleObject2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3.bin"/><Relationship Id="rId18" Type="http://schemas.openxmlformats.org/officeDocument/2006/relationships/image" Target="../media/image29.emf"/><Relationship Id="rId26" Type="http://schemas.openxmlformats.org/officeDocument/2006/relationships/oleObject" Target="../embeddings/oleObject62.bin"/><Relationship Id="rId39" Type="http://schemas.openxmlformats.org/officeDocument/2006/relationships/comments" Target="../comments2.xml"/><Relationship Id="rId21" Type="http://schemas.openxmlformats.org/officeDocument/2006/relationships/oleObject" Target="../embeddings/oleObject58.bin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0.bin"/><Relationship Id="rId12" Type="http://schemas.openxmlformats.org/officeDocument/2006/relationships/image" Target="../media/image27.e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1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55.bin"/><Relationship Id="rId20" Type="http://schemas.openxmlformats.org/officeDocument/2006/relationships/image" Target="../media/image16.emf"/><Relationship Id="rId29" Type="http://schemas.openxmlformats.org/officeDocument/2006/relationships/oleObject" Target="../embeddings/oleObject64.bin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11" Type="http://schemas.openxmlformats.org/officeDocument/2006/relationships/oleObject" Target="../embeddings/oleObject52.bin"/><Relationship Id="rId24" Type="http://schemas.openxmlformats.org/officeDocument/2006/relationships/oleObject" Target="../embeddings/oleObject60.bin"/><Relationship Id="rId32" Type="http://schemas.openxmlformats.org/officeDocument/2006/relationships/oleObject" Target="../embeddings/oleObject66.bin"/><Relationship Id="rId37" Type="http://schemas.openxmlformats.org/officeDocument/2006/relationships/image" Target="../media/image17.emf"/><Relationship Id="rId5" Type="http://schemas.openxmlformats.org/officeDocument/2006/relationships/oleObject" Target="../embeddings/oleObject49.bin"/><Relationship Id="rId15" Type="http://schemas.openxmlformats.org/officeDocument/2006/relationships/image" Target="../media/image28.emf"/><Relationship Id="rId23" Type="http://schemas.openxmlformats.org/officeDocument/2006/relationships/image" Target="../media/image30.emf"/><Relationship Id="rId28" Type="http://schemas.openxmlformats.org/officeDocument/2006/relationships/image" Target="../media/image14.wmf"/><Relationship Id="rId36" Type="http://schemas.openxmlformats.org/officeDocument/2006/relationships/oleObject" Target="../embeddings/oleObject70.bin"/><Relationship Id="rId10" Type="http://schemas.openxmlformats.org/officeDocument/2006/relationships/image" Target="../media/image9.wmf"/><Relationship Id="rId19" Type="http://schemas.openxmlformats.org/officeDocument/2006/relationships/oleObject" Target="../embeddings/oleObject57.bin"/><Relationship Id="rId31" Type="http://schemas.openxmlformats.org/officeDocument/2006/relationships/image" Target="../media/image15.emf"/><Relationship Id="rId4" Type="http://schemas.openxmlformats.org/officeDocument/2006/relationships/image" Target="../media/image6.emf"/><Relationship Id="rId9" Type="http://schemas.openxmlformats.org/officeDocument/2006/relationships/oleObject" Target="../embeddings/oleObject51.bin"/><Relationship Id="rId14" Type="http://schemas.openxmlformats.org/officeDocument/2006/relationships/oleObject" Target="../embeddings/oleObject54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3.bin"/><Relationship Id="rId30" Type="http://schemas.openxmlformats.org/officeDocument/2006/relationships/oleObject" Target="../embeddings/oleObject65.bin"/><Relationship Id="rId35" Type="http://schemas.openxmlformats.org/officeDocument/2006/relationships/oleObject" Target="../embeddings/oleObject69.bin"/><Relationship Id="rId8" Type="http://schemas.openxmlformats.org/officeDocument/2006/relationships/image" Target="../media/image8.emf"/><Relationship Id="rId3" Type="http://schemas.openxmlformats.org/officeDocument/2006/relationships/oleObject" Target="../embeddings/oleObject48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7.bin"/><Relationship Id="rId18" Type="http://schemas.openxmlformats.org/officeDocument/2006/relationships/image" Target="../media/image33.emf"/><Relationship Id="rId26" Type="http://schemas.openxmlformats.org/officeDocument/2006/relationships/oleObject" Target="../embeddings/oleObject86.bin"/><Relationship Id="rId39" Type="http://schemas.openxmlformats.org/officeDocument/2006/relationships/comments" Target="../comments3.xml"/><Relationship Id="rId21" Type="http://schemas.openxmlformats.org/officeDocument/2006/relationships/oleObject" Target="../embeddings/oleObject82.bin"/><Relationship Id="rId34" Type="http://schemas.openxmlformats.org/officeDocument/2006/relationships/oleObject" Target="../embeddings/oleObject92.bin"/><Relationship Id="rId7" Type="http://schemas.openxmlformats.org/officeDocument/2006/relationships/oleObject" Target="../embeddings/oleObject74.bin"/><Relationship Id="rId12" Type="http://schemas.openxmlformats.org/officeDocument/2006/relationships/image" Target="../media/image31.emf"/><Relationship Id="rId17" Type="http://schemas.openxmlformats.org/officeDocument/2006/relationships/oleObject" Target="../embeddings/oleObject80.bin"/><Relationship Id="rId25" Type="http://schemas.openxmlformats.org/officeDocument/2006/relationships/oleObject" Target="../embeddings/oleObject85.bin"/><Relationship Id="rId33" Type="http://schemas.openxmlformats.org/officeDocument/2006/relationships/oleObject" Target="../embeddings/oleObject91.bin"/><Relationship Id="rId38" Type="http://schemas.openxmlformats.org/officeDocument/2006/relationships/oleObject" Target="../embeddings/oleObject95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79.bin"/><Relationship Id="rId20" Type="http://schemas.openxmlformats.org/officeDocument/2006/relationships/image" Target="../media/image16.emf"/><Relationship Id="rId29" Type="http://schemas.openxmlformats.org/officeDocument/2006/relationships/oleObject" Target="../embeddings/oleObject88.bin"/><Relationship Id="rId1" Type="http://schemas.openxmlformats.org/officeDocument/2006/relationships/drawing" Target="../drawings/drawing5.xml"/><Relationship Id="rId6" Type="http://schemas.openxmlformats.org/officeDocument/2006/relationships/image" Target="../media/image7.emf"/><Relationship Id="rId11" Type="http://schemas.openxmlformats.org/officeDocument/2006/relationships/oleObject" Target="../embeddings/oleObject76.bin"/><Relationship Id="rId24" Type="http://schemas.openxmlformats.org/officeDocument/2006/relationships/oleObject" Target="../embeddings/oleObject84.bin"/><Relationship Id="rId32" Type="http://schemas.openxmlformats.org/officeDocument/2006/relationships/oleObject" Target="../embeddings/oleObject90.bin"/><Relationship Id="rId37" Type="http://schemas.openxmlformats.org/officeDocument/2006/relationships/image" Target="../media/image17.emf"/><Relationship Id="rId5" Type="http://schemas.openxmlformats.org/officeDocument/2006/relationships/oleObject" Target="../embeddings/oleObject73.bin"/><Relationship Id="rId15" Type="http://schemas.openxmlformats.org/officeDocument/2006/relationships/image" Target="../media/image32.emf"/><Relationship Id="rId23" Type="http://schemas.openxmlformats.org/officeDocument/2006/relationships/image" Target="../media/image34.emf"/><Relationship Id="rId28" Type="http://schemas.openxmlformats.org/officeDocument/2006/relationships/image" Target="../media/image14.wmf"/><Relationship Id="rId36" Type="http://schemas.openxmlformats.org/officeDocument/2006/relationships/oleObject" Target="../embeddings/oleObject94.bin"/><Relationship Id="rId10" Type="http://schemas.openxmlformats.org/officeDocument/2006/relationships/image" Target="../media/image9.wmf"/><Relationship Id="rId19" Type="http://schemas.openxmlformats.org/officeDocument/2006/relationships/oleObject" Target="../embeddings/oleObject81.bin"/><Relationship Id="rId31" Type="http://schemas.openxmlformats.org/officeDocument/2006/relationships/image" Target="../media/image15.emf"/><Relationship Id="rId4" Type="http://schemas.openxmlformats.org/officeDocument/2006/relationships/image" Target="../media/image6.emf"/><Relationship Id="rId9" Type="http://schemas.openxmlformats.org/officeDocument/2006/relationships/oleObject" Target="../embeddings/oleObject75.bin"/><Relationship Id="rId14" Type="http://schemas.openxmlformats.org/officeDocument/2006/relationships/oleObject" Target="../embeddings/oleObject78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7.bin"/><Relationship Id="rId30" Type="http://schemas.openxmlformats.org/officeDocument/2006/relationships/oleObject" Target="../embeddings/oleObject89.bin"/><Relationship Id="rId35" Type="http://schemas.openxmlformats.org/officeDocument/2006/relationships/oleObject" Target="../embeddings/oleObject93.bin"/><Relationship Id="rId8" Type="http://schemas.openxmlformats.org/officeDocument/2006/relationships/image" Target="../media/image8.emf"/><Relationship Id="rId3" Type="http://schemas.openxmlformats.org/officeDocument/2006/relationships/oleObject" Target="../embeddings/oleObject72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1.bin"/><Relationship Id="rId18" Type="http://schemas.openxmlformats.org/officeDocument/2006/relationships/image" Target="../media/image37.emf"/><Relationship Id="rId26" Type="http://schemas.openxmlformats.org/officeDocument/2006/relationships/oleObject" Target="../embeddings/oleObject110.bin"/><Relationship Id="rId39" Type="http://schemas.openxmlformats.org/officeDocument/2006/relationships/comments" Target="../comments4.xml"/><Relationship Id="rId21" Type="http://schemas.openxmlformats.org/officeDocument/2006/relationships/oleObject" Target="../embeddings/oleObject106.bin"/><Relationship Id="rId34" Type="http://schemas.openxmlformats.org/officeDocument/2006/relationships/oleObject" Target="../embeddings/oleObject116.bin"/><Relationship Id="rId7" Type="http://schemas.openxmlformats.org/officeDocument/2006/relationships/oleObject" Target="../embeddings/oleObject98.bin"/><Relationship Id="rId12" Type="http://schemas.openxmlformats.org/officeDocument/2006/relationships/image" Target="../media/image35.emf"/><Relationship Id="rId17" Type="http://schemas.openxmlformats.org/officeDocument/2006/relationships/oleObject" Target="../embeddings/oleObject104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5.bin"/><Relationship Id="rId38" Type="http://schemas.openxmlformats.org/officeDocument/2006/relationships/oleObject" Target="../embeddings/oleObject119.bin"/><Relationship Id="rId2" Type="http://schemas.openxmlformats.org/officeDocument/2006/relationships/vmlDrawing" Target="../drawings/vmlDrawing6.vml"/><Relationship Id="rId16" Type="http://schemas.openxmlformats.org/officeDocument/2006/relationships/oleObject" Target="../embeddings/oleObject103.bin"/><Relationship Id="rId20" Type="http://schemas.openxmlformats.org/officeDocument/2006/relationships/image" Target="../media/image16.emf"/><Relationship Id="rId29" Type="http://schemas.openxmlformats.org/officeDocument/2006/relationships/oleObject" Target="../embeddings/oleObject112.bin"/><Relationship Id="rId1" Type="http://schemas.openxmlformats.org/officeDocument/2006/relationships/drawing" Target="../drawings/drawing6.xml"/><Relationship Id="rId6" Type="http://schemas.openxmlformats.org/officeDocument/2006/relationships/image" Target="../media/image7.emf"/><Relationship Id="rId11" Type="http://schemas.openxmlformats.org/officeDocument/2006/relationships/oleObject" Target="../embeddings/oleObject100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4.bin"/><Relationship Id="rId37" Type="http://schemas.openxmlformats.org/officeDocument/2006/relationships/image" Target="../media/image17.emf"/><Relationship Id="rId5" Type="http://schemas.openxmlformats.org/officeDocument/2006/relationships/oleObject" Target="../embeddings/oleObject97.bin"/><Relationship Id="rId15" Type="http://schemas.openxmlformats.org/officeDocument/2006/relationships/image" Target="../media/image36.emf"/><Relationship Id="rId23" Type="http://schemas.openxmlformats.org/officeDocument/2006/relationships/image" Target="../media/image38.emf"/><Relationship Id="rId28" Type="http://schemas.openxmlformats.org/officeDocument/2006/relationships/image" Target="../media/image14.wmf"/><Relationship Id="rId36" Type="http://schemas.openxmlformats.org/officeDocument/2006/relationships/oleObject" Target="../embeddings/oleObject118.bin"/><Relationship Id="rId10" Type="http://schemas.openxmlformats.org/officeDocument/2006/relationships/image" Target="../media/image9.wmf"/><Relationship Id="rId19" Type="http://schemas.openxmlformats.org/officeDocument/2006/relationships/oleObject" Target="../embeddings/oleObject105.bin"/><Relationship Id="rId31" Type="http://schemas.openxmlformats.org/officeDocument/2006/relationships/image" Target="../media/image15.emf"/><Relationship Id="rId4" Type="http://schemas.openxmlformats.org/officeDocument/2006/relationships/image" Target="../media/image6.emf"/><Relationship Id="rId9" Type="http://schemas.openxmlformats.org/officeDocument/2006/relationships/oleObject" Target="../embeddings/oleObject99.bin"/><Relationship Id="rId14" Type="http://schemas.openxmlformats.org/officeDocument/2006/relationships/oleObject" Target="../embeddings/oleObject102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3.bin"/><Relationship Id="rId35" Type="http://schemas.openxmlformats.org/officeDocument/2006/relationships/oleObject" Target="../embeddings/oleObject117.bin"/><Relationship Id="rId8" Type="http://schemas.openxmlformats.org/officeDocument/2006/relationships/image" Target="../media/image8.emf"/><Relationship Id="rId3" Type="http://schemas.openxmlformats.org/officeDocument/2006/relationships/oleObject" Target="../embeddings/oleObject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A89-250F-45DA-B509-FB6E9CF35560}">
  <dimension ref="B1:X108"/>
  <sheetViews>
    <sheetView tabSelected="1" zoomScale="70" zoomScaleNormal="70" workbookViewId="0">
      <selection activeCell="D12" sqref="D12"/>
    </sheetView>
  </sheetViews>
  <sheetFormatPr baseColWidth="10" defaultRowHeight="13.2" x14ac:dyDescent="0.25"/>
  <cols>
    <col min="1" max="1" width="11.5546875" customWidth="1"/>
    <col min="2" max="2" width="10.5546875" customWidth="1"/>
    <col min="3" max="3" width="22" customWidth="1"/>
    <col min="4" max="4" width="17.5546875" customWidth="1"/>
    <col min="5" max="5" width="15" customWidth="1"/>
    <col min="6" max="6" width="16.33203125" customWidth="1"/>
    <col min="7" max="7" width="16.5546875" customWidth="1"/>
    <col min="8" max="8" width="14" customWidth="1"/>
    <col min="9" max="9" width="16.6640625" customWidth="1"/>
    <col min="10" max="13" width="11.5546875" customWidth="1"/>
    <col min="14" max="14" width="13" customWidth="1"/>
    <col min="15" max="15" width="14.33203125" customWidth="1"/>
    <col min="16" max="16" width="15" customWidth="1"/>
    <col min="17" max="23" width="11.5546875" customWidth="1"/>
    <col min="24" max="24" width="16.6640625" customWidth="1"/>
    <col min="25" max="256" width="8.88671875" customWidth="1"/>
  </cols>
  <sheetData>
    <row r="1" spans="2:24" ht="13.8" thickBot="1" x14ac:dyDescent="0.3"/>
    <row r="2" spans="2:24" ht="21" thickBot="1" x14ac:dyDescent="0.4">
      <c r="C2" s="537" t="s">
        <v>85</v>
      </c>
      <c r="D2" s="538"/>
      <c r="E2" s="538"/>
      <c r="F2" s="538"/>
      <c r="G2" s="538"/>
      <c r="H2" s="538"/>
      <c r="I2" s="538"/>
      <c r="J2" s="538"/>
      <c r="K2" s="538"/>
      <c r="L2" s="539"/>
      <c r="N2" s="382"/>
      <c r="U2" s="382"/>
      <c r="V2" s="382"/>
    </row>
    <row r="3" spans="2:24" x14ac:dyDescent="0.25">
      <c r="C3" s="438" t="s">
        <v>84</v>
      </c>
      <c r="D3" s="495">
        <v>45509</v>
      </c>
      <c r="E3" s="439"/>
      <c r="F3" s="440" t="s">
        <v>472</v>
      </c>
      <c r="G3" s="441" t="s">
        <v>473</v>
      </c>
      <c r="H3" s="442"/>
      <c r="I3" s="547" t="s">
        <v>470</v>
      </c>
      <c r="J3" s="547"/>
      <c r="K3" s="555" t="s">
        <v>471</v>
      </c>
      <c r="L3" s="556"/>
      <c r="N3" s="410" t="s">
        <v>92</v>
      </c>
      <c r="P3" s="411" t="s">
        <v>214</v>
      </c>
      <c r="R3" s="548" t="s">
        <v>146</v>
      </c>
      <c r="S3" s="549"/>
      <c r="U3" s="548" t="s">
        <v>150</v>
      </c>
      <c r="V3" s="549"/>
    </row>
    <row r="4" spans="2:24" ht="39.6" x14ac:dyDescent="0.25">
      <c r="C4" s="385" t="s">
        <v>73</v>
      </c>
      <c r="D4" s="444" t="s">
        <v>249</v>
      </c>
      <c r="E4" s="362"/>
      <c r="F4" s="386" t="s">
        <v>74</v>
      </c>
      <c r="G4" s="445"/>
      <c r="H4" s="362"/>
      <c r="I4" s="387" t="s">
        <v>75</v>
      </c>
      <c r="J4" s="446"/>
      <c r="K4" s="554" t="s">
        <v>99</v>
      </c>
      <c r="L4" s="553"/>
      <c r="N4" s="392" t="s">
        <v>231</v>
      </c>
      <c r="P4" s="382" t="s">
        <v>224</v>
      </c>
      <c r="R4" s="549" t="s">
        <v>246</v>
      </c>
      <c r="S4" s="549"/>
      <c r="U4" s="549" t="s">
        <v>1028</v>
      </c>
      <c r="V4" s="549"/>
    </row>
    <row r="5" spans="2:24" x14ac:dyDescent="0.25">
      <c r="C5" s="388"/>
      <c r="D5" s="362"/>
      <c r="E5" s="362"/>
      <c r="F5" s="362"/>
      <c r="G5" s="362"/>
      <c r="H5" s="362"/>
      <c r="I5" s="362"/>
      <c r="J5" s="362"/>
      <c r="K5" s="554"/>
      <c r="L5" s="553"/>
      <c r="N5" s="493" t="str">
        <f>N4</f>
        <v>Cobos</v>
      </c>
      <c r="P5" s="392" t="str">
        <f>P4</f>
        <v>30 mm</v>
      </c>
      <c r="R5" s="549" t="str">
        <f>R4</f>
        <v>Accumac</v>
      </c>
      <c r="S5" s="549"/>
      <c r="U5" s="411" t="s">
        <v>1028</v>
      </c>
      <c r="V5" s="382"/>
    </row>
    <row r="6" spans="2:24" ht="12.75" customHeight="1" x14ac:dyDescent="0.25">
      <c r="C6" s="389" t="s">
        <v>88</v>
      </c>
      <c r="D6" s="561" t="s">
        <v>520</v>
      </c>
      <c r="E6" s="561"/>
      <c r="F6" s="561"/>
      <c r="G6" s="362"/>
      <c r="H6" s="362"/>
      <c r="I6" s="362"/>
      <c r="J6" s="362"/>
      <c r="K6" s="557" t="s">
        <v>218</v>
      </c>
      <c r="L6" s="558"/>
      <c r="N6" s="494" t="s">
        <v>230</v>
      </c>
      <c r="P6" s="382"/>
      <c r="R6" s="382"/>
      <c r="S6" s="382"/>
      <c r="U6" s="411" t="s">
        <v>151</v>
      </c>
      <c r="V6" s="382"/>
    </row>
    <row r="7" spans="2:24" x14ac:dyDescent="0.25">
      <c r="C7" s="389" t="s">
        <v>89</v>
      </c>
      <c r="D7" s="384" t="str">
        <f>VLOOKUP(D6,'Datos Clientes'!$B$6:$C$340,2,FALSE)</f>
        <v>Plaza España, Edificio Malaga Módulo E8</v>
      </c>
      <c r="E7" s="362"/>
      <c r="F7" s="362"/>
      <c r="G7" s="362"/>
      <c r="H7" s="362"/>
      <c r="I7" s="362"/>
      <c r="J7" s="362"/>
      <c r="K7" s="557"/>
      <c r="L7" s="558"/>
      <c r="N7" s="494" t="s">
        <v>231</v>
      </c>
      <c r="P7" s="382"/>
      <c r="S7" s="158" t="s">
        <v>136</v>
      </c>
      <c r="T7" s="158" t="s">
        <v>140</v>
      </c>
      <c r="U7" s="158" t="s">
        <v>141</v>
      </c>
      <c r="V7" s="158" t="s">
        <v>142</v>
      </c>
      <c r="W7" s="158" t="s">
        <v>144</v>
      </c>
      <c r="X7" s="158" t="s">
        <v>148</v>
      </c>
    </row>
    <row r="8" spans="2:24" ht="13.5" customHeight="1" x14ac:dyDescent="0.25">
      <c r="C8" s="389" t="s">
        <v>76</v>
      </c>
      <c r="D8" s="384"/>
      <c r="E8" s="362"/>
      <c r="F8" s="390" t="s">
        <v>79</v>
      </c>
      <c r="G8" s="407">
        <f>VLOOKUP(R5,S13:X16,2,FALSE)</f>
        <v>250</v>
      </c>
      <c r="H8" s="390" t="s">
        <v>80</v>
      </c>
      <c r="I8" s="362"/>
      <c r="J8" s="362"/>
      <c r="K8" s="540">
        <f>VLOOKUP(K4,C84:D90,2,FALSE)</f>
        <v>5.9999999999999995E-4</v>
      </c>
      <c r="L8" s="541"/>
      <c r="N8" s="476"/>
      <c r="P8" s="382"/>
      <c r="R8">
        <v>1</v>
      </c>
      <c r="S8" s="77" t="s">
        <v>230</v>
      </c>
      <c r="T8" s="77" t="s">
        <v>143</v>
      </c>
      <c r="U8" s="46">
        <v>1E-4</v>
      </c>
      <c r="V8" s="77" t="s">
        <v>91</v>
      </c>
      <c r="W8" s="46">
        <v>4601773</v>
      </c>
      <c r="X8" s="65" t="s">
        <v>244</v>
      </c>
    </row>
    <row r="9" spans="2:24" ht="15.6" x14ac:dyDescent="0.25">
      <c r="C9" s="389" t="s">
        <v>87</v>
      </c>
      <c r="D9" s="391"/>
      <c r="E9" s="362"/>
      <c r="F9" s="390" t="s">
        <v>217</v>
      </c>
      <c r="G9" s="407">
        <f>VLOOKUP(R5,S13:X15,3,FALSE)</f>
        <v>1E-3</v>
      </c>
      <c r="H9" s="390" t="s">
        <v>81</v>
      </c>
      <c r="I9" s="407" t="str">
        <f>VLOOKUP(N5,S8:X10,6,FALSE)</f>
        <v>MC-BAL-2003-2019</v>
      </c>
      <c r="J9" s="362"/>
      <c r="K9" s="543" t="s">
        <v>214</v>
      </c>
      <c r="L9" s="544"/>
      <c r="N9" s="382"/>
      <c r="R9">
        <v>2</v>
      </c>
      <c r="S9" s="77" t="s">
        <v>231</v>
      </c>
      <c r="T9" s="77" t="s">
        <v>232</v>
      </c>
      <c r="U9" s="46">
        <v>0.1</v>
      </c>
      <c r="V9" s="77" t="s">
        <v>91</v>
      </c>
      <c r="W9" s="160">
        <v>125695014</v>
      </c>
      <c r="X9" s="65" t="s">
        <v>245</v>
      </c>
    </row>
    <row r="10" spans="2:24" x14ac:dyDescent="0.25">
      <c r="C10" s="435" t="s">
        <v>474</v>
      </c>
      <c r="D10" s="391" t="s">
        <v>242</v>
      </c>
      <c r="E10" s="362"/>
      <c r="F10" s="390" t="s">
        <v>68</v>
      </c>
      <c r="G10" s="407" t="str">
        <f>VLOOKUP(R5,S13:X15,1,FALSE)</f>
        <v>Accumac</v>
      </c>
      <c r="H10" s="390" t="s">
        <v>82</v>
      </c>
      <c r="I10" s="407" t="str">
        <f>VLOOKUP(N5,S8:V10,1,FALSE)</f>
        <v>Cobos</v>
      </c>
      <c r="J10" s="362"/>
      <c r="K10" s="550">
        <f>VLOOKUP(P5,'punto 1'!B5:C8,2,FALSE)</f>
        <v>0.70699999999999996</v>
      </c>
      <c r="L10" s="551"/>
      <c r="R10">
        <v>3</v>
      </c>
      <c r="S10" s="77"/>
      <c r="T10" s="77"/>
      <c r="U10" s="46"/>
      <c r="V10" s="77"/>
      <c r="W10" s="160"/>
      <c r="X10" s="60"/>
    </row>
    <row r="11" spans="2:24" x14ac:dyDescent="0.25">
      <c r="B11" s="21"/>
      <c r="C11" s="389" t="s">
        <v>77</v>
      </c>
      <c r="D11" s="477">
        <f>VLOOKUP(K4,C84:D90,2,FALSE)</f>
        <v>5.9999999999999995E-4</v>
      </c>
      <c r="E11" s="362"/>
      <c r="F11" s="390" t="s">
        <v>70</v>
      </c>
      <c r="G11" s="407" t="str">
        <f>VLOOKUP(R5,S13:X16,6,FALSE)</f>
        <v>AM8060</v>
      </c>
      <c r="H11" s="390" t="s">
        <v>69</v>
      </c>
      <c r="I11" s="407">
        <f>VLOOKUP(N5,S8:W10,5,FALSE)</f>
        <v>125695014</v>
      </c>
      <c r="J11" s="362"/>
      <c r="K11" s="545" t="s">
        <v>215</v>
      </c>
      <c r="L11" s="546"/>
    </row>
    <row r="12" spans="2:24" x14ac:dyDescent="0.25">
      <c r="B12" s="21"/>
      <c r="C12" s="443" t="s">
        <v>68</v>
      </c>
      <c r="D12" s="396" t="s">
        <v>240</v>
      </c>
      <c r="E12" s="362"/>
      <c r="F12" s="390" t="s">
        <v>69</v>
      </c>
      <c r="G12" s="407">
        <f>VLOOKUP(R5,S13:X16,5,FALSE)</f>
        <v>60150708</v>
      </c>
      <c r="H12" s="390" t="s">
        <v>83</v>
      </c>
      <c r="I12" s="407">
        <f>VLOOKUP(N5,S8:W10,3,FALSE)</f>
        <v>0.1</v>
      </c>
      <c r="J12" s="407" t="str">
        <f>VLOOKUP(N5,S8:X10,4,FALSE)</f>
        <v>g</v>
      </c>
      <c r="K12" s="552" t="s">
        <v>225</v>
      </c>
      <c r="L12" s="553"/>
      <c r="S12" s="158" t="s">
        <v>145</v>
      </c>
      <c r="T12" s="158" t="s">
        <v>140</v>
      </c>
      <c r="U12" s="158" t="s">
        <v>141</v>
      </c>
      <c r="V12" s="158" t="s">
        <v>142</v>
      </c>
      <c r="W12" s="158" t="s">
        <v>144</v>
      </c>
      <c r="X12" s="158" t="s">
        <v>147</v>
      </c>
    </row>
    <row r="13" spans="2:24" x14ac:dyDescent="0.25">
      <c r="B13" s="21"/>
      <c r="C13" s="443" t="s">
        <v>241</v>
      </c>
      <c r="D13" s="384" t="s">
        <v>243</v>
      </c>
      <c r="E13" s="394"/>
      <c r="F13" s="394"/>
      <c r="G13" s="394"/>
      <c r="H13" s="394"/>
      <c r="I13" s="394"/>
      <c r="J13" s="394"/>
      <c r="K13" s="394"/>
      <c r="L13" s="395"/>
      <c r="R13">
        <v>1</v>
      </c>
      <c r="S13" s="77" t="s">
        <v>246</v>
      </c>
      <c r="T13" s="77">
        <v>250</v>
      </c>
      <c r="U13" s="46">
        <v>1E-3</v>
      </c>
      <c r="V13" s="77" t="s">
        <v>247</v>
      </c>
      <c r="W13" s="328">
        <v>60150708</v>
      </c>
      <c r="X13" s="329" t="s">
        <v>248</v>
      </c>
    </row>
    <row r="14" spans="2:24" ht="26.4" x14ac:dyDescent="0.25">
      <c r="C14" s="437" t="s">
        <v>239</v>
      </c>
      <c r="D14" s="398" t="s">
        <v>117</v>
      </c>
      <c r="E14" s="399"/>
      <c r="F14" s="393" t="s">
        <v>78</v>
      </c>
      <c r="G14" s="560" t="s">
        <v>233</v>
      </c>
      <c r="H14" s="560"/>
      <c r="I14" s="560"/>
      <c r="J14" s="400"/>
      <c r="K14" s="394"/>
      <c r="L14" s="395"/>
      <c r="R14">
        <v>2</v>
      </c>
      <c r="S14" s="77"/>
      <c r="T14" s="159"/>
      <c r="U14" s="160"/>
      <c r="V14" s="159"/>
      <c r="W14" s="160"/>
      <c r="X14" s="77"/>
    </row>
    <row r="15" spans="2:24" x14ac:dyDescent="0.25">
      <c r="C15" s="397" t="s">
        <v>475</v>
      </c>
      <c r="D15" s="436">
        <v>1234567</v>
      </c>
      <c r="E15" s="399"/>
      <c r="F15" s="393"/>
      <c r="G15" s="387"/>
      <c r="H15" s="387"/>
      <c r="I15" s="387"/>
      <c r="J15" s="400"/>
      <c r="K15" s="394"/>
      <c r="L15" s="395"/>
      <c r="S15" s="77"/>
      <c r="T15" s="159"/>
      <c r="U15" s="160"/>
      <c r="V15" s="159"/>
      <c r="W15" s="160"/>
      <c r="X15" s="77"/>
    </row>
    <row r="16" spans="2:24" ht="13.8" thickBot="1" x14ac:dyDescent="0.3">
      <c r="C16" s="401" t="s">
        <v>238</v>
      </c>
      <c r="D16" s="402">
        <v>1</v>
      </c>
      <c r="E16" s="403"/>
      <c r="F16" s="402"/>
      <c r="G16" s="404"/>
      <c r="H16" s="402"/>
      <c r="I16" s="402"/>
      <c r="J16" s="402"/>
      <c r="K16" s="405"/>
      <c r="L16" s="406"/>
      <c r="R16">
        <v>3</v>
      </c>
      <c r="S16" s="77"/>
      <c r="T16" s="159"/>
      <c r="U16" s="160"/>
      <c r="V16" s="159"/>
      <c r="W16" s="160"/>
      <c r="X16" s="46"/>
    </row>
    <row r="18" spans="2:16" x14ac:dyDescent="0.25">
      <c r="C18" s="384"/>
      <c r="D18" s="409"/>
    </row>
    <row r="20" spans="2:16" x14ac:dyDescent="0.25">
      <c r="C20" s="559"/>
      <c r="D20" s="559"/>
      <c r="E20" s="559"/>
      <c r="F20" s="559"/>
      <c r="G20" s="559"/>
      <c r="H20" s="559"/>
      <c r="I20" s="559"/>
      <c r="J20" s="559"/>
      <c r="K20" s="559"/>
      <c r="L20" s="559"/>
    </row>
    <row r="21" spans="2:16" ht="27" customHeight="1" x14ac:dyDescent="0.25">
      <c r="B21" s="82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6" x14ac:dyDescent="0.25">
      <c r="B22" s="80"/>
      <c r="C22" s="66"/>
      <c r="D22" s="66"/>
      <c r="E22" s="66"/>
      <c r="F22" s="66"/>
      <c r="G22" s="66"/>
      <c r="H22" s="66"/>
      <c r="I22" s="532"/>
      <c r="J22" s="532"/>
      <c r="K22" s="532"/>
      <c r="L22" s="532"/>
    </row>
    <row r="23" spans="2:16" ht="13.8" thickBot="1" x14ac:dyDescent="0.3">
      <c r="B23" s="80"/>
      <c r="C23" s="81"/>
      <c r="D23" s="416" t="s">
        <v>478</v>
      </c>
      <c r="E23" s="416">
        <v>10</v>
      </c>
      <c r="F23" s="416" t="s">
        <v>13</v>
      </c>
      <c r="G23" s="418"/>
      <c r="H23" s="81"/>
      <c r="I23" s="532"/>
      <c r="J23" s="532"/>
      <c r="K23" s="532"/>
      <c r="L23" s="532"/>
    </row>
    <row r="24" spans="2:16" ht="23.25" customHeight="1" thickTop="1" thickBot="1" x14ac:dyDescent="0.35">
      <c r="B24" s="542">
        <v>1</v>
      </c>
      <c r="C24" s="527" t="s">
        <v>86</v>
      </c>
      <c r="D24" s="530" t="s">
        <v>16</v>
      </c>
      <c r="E24" s="531"/>
      <c r="F24" s="361" t="s">
        <v>3</v>
      </c>
      <c r="G24" s="361" t="s">
        <v>4</v>
      </c>
      <c r="H24" s="535" t="s">
        <v>17</v>
      </c>
      <c r="I24" s="533" t="s">
        <v>216</v>
      </c>
      <c r="J24" s="362"/>
      <c r="K24" s="363" t="s">
        <v>0</v>
      </c>
      <c r="L24" s="364"/>
      <c r="M24" s="364"/>
      <c r="N24" s="365" t="s">
        <v>21</v>
      </c>
      <c r="O24" s="366" t="s">
        <v>22</v>
      </c>
      <c r="P24" s="367" t="s">
        <v>24</v>
      </c>
    </row>
    <row r="25" spans="2:16" ht="18.600000000000001" thickTop="1" x14ac:dyDescent="0.3">
      <c r="B25" s="542"/>
      <c r="C25" s="528"/>
      <c r="D25" s="361" t="s">
        <v>6</v>
      </c>
      <c r="E25" s="361" t="s">
        <v>7</v>
      </c>
      <c r="F25" s="361" t="s">
        <v>8</v>
      </c>
      <c r="G25" s="361" t="s">
        <v>8</v>
      </c>
      <c r="H25" s="536"/>
      <c r="I25" s="534"/>
      <c r="J25" s="362"/>
      <c r="K25" s="368" t="s">
        <v>65</v>
      </c>
      <c r="L25" s="369"/>
      <c r="M25" s="370"/>
      <c r="N25" s="513">
        <f>'punto 1'!J2</f>
        <v>4.1721998668247425E-5</v>
      </c>
      <c r="O25" s="514"/>
      <c r="P25" s="371"/>
    </row>
    <row r="26" spans="2:16" ht="18" x14ac:dyDescent="0.3">
      <c r="B26" s="542"/>
      <c r="C26" s="529"/>
      <c r="D26" s="361" t="s">
        <v>91</v>
      </c>
      <c r="E26" s="361" t="str">
        <f>D26</f>
        <v>g</v>
      </c>
      <c r="F26" s="372" t="s">
        <v>10</v>
      </c>
      <c r="G26" s="361" t="s">
        <v>72</v>
      </c>
      <c r="H26" s="361" t="s">
        <v>13</v>
      </c>
      <c r="I26" s="361" t="s">
        <v>13</v>
      </c>
      <c r="J26" s="362"/>
      <c r="K26" s="515" t="s">
        <v>1</v>
      </c>
      <c r="L26" s="516"/>
      <c r="M26" s="370"/>
      <c r="N26" s="373"/>
      <c r="O26" s="374"/>
      <c r="P26" s="375"/>
    </row>
    <row r="27" spans="2:16" ht="15.6" x14ac:dyDescent="0.3">
      <c r="B27" s="542"/>
      <c r="C27" s="376">
        <v>1</v>
      </c>
      <c r="D27" s="414"/>
      <c r="E27" s="414"/>
      <c r="F27" s="414"/>
      <c r="G27" s="415">
        <f>'punto 1'!E20</f>
        <v>999.85331435241267</v>
      </c>
      <c r="H27" s="517">
        <f>'punto 1'!H24</f>
        <v>-10</v>
      </c>
      <c r="I27" s="520">
        <f>IF(U4=$U$5,'punto 1'!P38*'punto 1'!P40*1000000,IF(U4=$U$6,'punto 1'!P38*'punto 1'!P40))</f>
        <v>0.91498926168697547</v>
      </c>
      <c r="J27" s="362"/>
      <c r="K27" s="509" t="s">
        <v>12</v>
      </c>
      <c r="L27" s="510"/>
      <c r="M27" s="377"/>
      <c r="N27" s="378"/>
      <c r="O27" s="379"/>
      <c r="P27" s="375"/>
    </row>
    <row r="28" spans="2:16" ht="15.6" x14ac:dyDescent="0.3">
      <c r="B28" s="542"/>
      <c r="C28" s="376">
        <v>2</v>
      </c>
      <c r="D28" s="414"/>
      <c r="E28" s="414"/>
      <c r="F28" s="414"/>
      <c r="G28" s="415">
        <f>'punto 1'!E21</f>
        <v>999.85331431461441</v>
      </c>
      <c r="H28" s="518"/>
      <c r="I28" s="521"/>
      <c r="J28" s="362"/>
      <c r="K28" s="511" t="s">
        <v>23</v>
      </c>
      <c r="L28" s="512"/>
      <c r="M28" s="380"/>
      <c r="N28" s="381"/>
      <c r="O28" s="381"/>
      <c r="P28" s="375"/>
    </row>
    <row r="29" spans="2:16" ht="15.6" x14ac:dyDescent="0.3">
      <c r="B29" s="542"/>
      <c r="C29" s="376">
        <v>3</v>
      </c>
      <c r="D29" s="414"/>
      <c r="E29" s="414"/>
      <c r="F29" s="414"/>
      <c r="G29" s="415">
        <f>'punto 1'!E22</f>
        <v>999.85331431461441</v>
      </c>
      <c r="H29" s="518"/>
      <c r="I29" s="521"/>
      <c r="J29" s="362"/>
      <c r="K29" s="362"/>
      <c r="L29" s="362"/>
      <c r="M29" s="382"/>
      <c r="N29" s="382"/>
      <c r="O29" s="382"/>
      <c r="P29" s="382"/>
    </row>
    <row r="30" spans="2:16" ht="15.6" x14ac:dyDescent="0.3">
      <c r="B30" s="542"/>
      <c r="C30" s="376">
        <v>4</v>
      </c>
      <c r="D30" s="414"/>
      <c r="E30" s="414"/>
      <c r="F30" s="414"/>
      <c r="G30" s="415">
        <f>'punto 1'!E23</f>
        <v>999.85331433729334</v>
      </c>
      <c r="H30" s="518"/>
      <c r="I30" s="521"/>
      <c r="J30" s="382"/>
      <c r="K30" s="382"/>
      <c r="L30" s="382"/>
      <c r="M30" s="382"/>
      <c r="N30" s="382"/>
      <c r="O30" s="382"/>
      <c r="P30" s="382"/>
    </row>
    <row r="31" spans="2:16" ht="16.2" thickBot="1" x14ac:dyDescent="0.35">
      <c r="B31" s="542"/>
      <c r="C31" s="383">
        <v>5</v>
      </c>
      <c r="D31" s="414"/>
      <c r="E31" s="414"/>
      <c r="F31" s="414"/>
      <c r="G31" s="415">
        <f>'punto 1'!E24</f>
        <v>999.85331434233319</v>
      </c>
      <c r="H31" s="519"/>
      <c r="I31" s="522"/>
      <c r="J31" s="382"/>
      <c r="K31" s="382"/>
      <c r="L31" s="382"/>
      <c r="M31" s="382"/>
      <c r="N31" s="382"/>
      <c r="O31" s="382"/>
      <c r="P31" s="382"/>
    </row>
    <row r="32" spans="2:16" ht="13.8" thickTop="1" x14ac:dyDescent="0.25">
      <c r="C32" s="382"/>
      <c r="D32" s="392"/>
      <c r="E32" s="392"/>
      <c r="F32" s="392"/>
      <c r="G32" s="408"/>
      <c r="H32" s="412"/>
      <c r="I32" s="412"/>
      <c r="J32" s="382"/>
      <c r="K32" s="382"/>
      <c r="L32" s="382"/>
      <c r="M32" s="382"/>
      <c r="N32" s="382"/>
      <c r="O32" s="382"/>
      <c r="P32" s="382"/>
    </row>
    <row r="33" spans="2:16" x14ac:dyDescent="0.25">
      <c r="C33" s="382"/>
      <c r="D33" s="392"/>
      <c r="E33" s="392"/>
      <c r="F33" s="392"/>
      <c r="G33" s="408"/>
      <c r="H33" s="412"/>
      <c r="I33" s="412"/>
      <c r="J33" s="382"/>
      <c r="K33" s="382"/>
      <c r="L33" s="382"/>
      <c r="M33" s="382"/>
      <c r="N33" s="382"/>
      <c r="O33" s="382"/>
      <c r="P33" s="382"/>
    </row>
    <row r="34" spans="2:16" ht="13.8" thickBot="1" x14ac:dyDescent="0.3">
      <c r="C34" s="382"/>
      <c r="D34" s="416" t="s">
        <v>478</v>
      </c>
      <c r="E34" s="417">
        <v>10000</v>
      </c>
      <c r="F34" s="416" t="str">
        <f>IF($U$4=$U$5,"ml",IF($U$4=$U$6,"L"))</f>
        <v>ml</v>
      </c>
      <c r="G34" s="408"/>
      <c r="H34" s="412"/>
      <c r="I34" s="412"/>
      <c r="J34" s="382"/>
      <c r="K34" s="382"/>
      <c r="L34" s="382"/>
      <c r="M34" s="382"/>
      <c r="N34" s="382"/>
      <c r="O34" s="382"/>
      <c r="P34" s="382"/>
    </row>
    <row r="35" spans="2:16" ht="16.8" thickTop="1" thickBot="1" x14ac:dyDescent="0.35">
      <c r="B35" s="542">
        <v>2</v>
      </c>
      <c r="C35" s="527" t="s">
        <v>86</v>
      </c>
      <c r="D35" s="530" t="s">
        <v>16</v>
      </c>
      <c r="E35" s="531"/>
      <c r="F35" s="361" t="s">
        <v>3</v>
      </c>
      <c r="G35" s="413" t="s">
        <v>4</v>
      </c>
      <c r="H35" s="523" t="s">
        <v>17</v>
      </c>
      <c r="I35" s="525" t="s">
        <v>216</v>
      </c>
      <c r="J35" s="382"/>
      <c r="K35" s="363" t="s">
        <v>0</v>
      </c>
      <c r="L35" s="364"/>
      <c r="M35" s="364"/>
      <c r="N35" s="365" t="s">
        <v>21</v>
      </c>
      <c r="O35" s="366" t="s">
        <v>22</v>
      </c>
      <c r="P35" s="367" t="s">
        <v>24</v>
      </c>
    </row>
    <row r="36" spans="2:16" ht="18.600000000000001" thickTop="1" x14ac:dyDescent="0.3">
      <c r="B36" s="542"/>
      <c r="C36" s="528"/>
      <c r="D36" s="361" t="s">
        <v>6</v>
      </c>
      <c r="E36" s="361" t="s">
        <v>7</v>
      </c>
      <c r="F36" s="361" t="s">
        <v>8</v>
      </c>
      <c r="G36" s="413" t="s">
        <v>8</v>
      </c>
      <c r="H36" s="524"/>
      <c r="I36" s="526"/>
      <c r="J36" s="382"/>
      <c r="K36" s="368" t="s">
        <v>65</v>
      </c>
      <c r="L36" s="369"/>
      <c r="M36" s="370"/>
      <c r="N36" s="513">
        <f>'punto 2'!J2</f>
        <v>4.1721998668247425E-5</v>
      </c>
      <c r="O36" s="514"/>
      <c r="P36" s="371"/>
    </row>
    <row r="37" spans="2:16" ht="18" x14ac:dyDescent="0.3">
      <c r="B37" s="542"/>
      <c r="C37" s="529"/>
      <c r="D37" s="361" t="str">
        <f>D26</f>
        <v>g</v>
      </c>
      <c r="E37" s="361" t="str">
        <f>E26</f>
        <v>g</v>
      </c>
      <c r="F37" s="372" t="s">
        <v>10</v>
      </c>
      <c r="G37" s="413" t="s">
        <v>72</v>
      </c>
      <c r="H37" s="413" t="s">
        <v>13</v>
      </c>
      <c r="I37" s="413" t="s">
        <v>13</v>
      </c>
      <c r="J37" s="382"/>
      <c r="K37" s="515" t="s">
        <v>1</v>
      </c>
      <c r="L37" s="516"/>
      <c r="M37" s="370"/>
      <c r="N37" s="373"/>
      <c r="O37" s="374"/>
      <c r="P37" s="375"/>
    </row>
    <row r="38" spans="2:16" ht="15.6" x14ac:dyDescent="0.3">
      <c r="B38" s="542"/>
      <c r="C38" s="376">
        <v>1</v>
      </c>
      <c r="D38" s="414"/>
      <c r="E38" s="414"/>
      <c r="F38" s="414"/>
      <c r="G38" s="415"/>
      <c r="H38" s="517">
        <f>'punto 2'!H24</f>
        <v>-10000</v>
      </c>
      <c r="I38" s="520">
        <f>IF(U4=$U$5,'punto 2'!P38*'punto 2'!P40*1000000,IF(U4=$U$6,'punto 2'!P38*'punto 2'!P40))</f>
        <v>0.91498926168697547</v>
      </c>
      <c r="J38" s="382"/>
      <c r="K38" s="509" t="s">
        <v>12</v>
      </c>
      <c r="L38" s="510"/>
      <c r="M38" s="377"/>
      <c r="N38" s="378"/>
      <c r="O38" s="379"/>
      <c r="P38" s="375"/>
    </row>
    <row r="39" spans="2:16" ht="15.6" x14ac:dyDescent="0.3">
      <c r="B39" s="542"/>
      <c r="C39" s="376">
        <v>2</v>
      </c>
      <c r="D39" s="414"/>
      <c r="E39" s="414"/>
      <c r="F39" s="414"/>
      <c r="G39" s="415"/>
      <c r="H39" s="518"/>
      <c r="I39" s="521"/>
      <c r="J39" s="382"/>
      <c r="K39" s="511" t="s">
        <v>23</v>
      </c>
      <c r="L39" s="512"/>
      <c r="M39" s="380"/>
      <c r="N39" s="381"/>
      <c r="O39" s="381"/>
      <c r="P39" s="375"/>
    </row>
    <row r="40" spans="2:16" ht="15.6" x14ac:dyDescent="0.3">
      <c r="B40" s="542"/>
      <c r="C40" s="376">
        <v>3</v>
      </c>
      <c r="D40" s="414"/>
      <c r="E40" s="414"/>
      <c r="F40" s="414"/>
      <c r="G40" s="415"/>
      <c r="H40" s="518"/>
      <c r="I40" s="521"/>
      <c r="J40" s="382"/>
      <c r="K40" s="382"/>
      <c r="L40" s="382"/>
      <c r="M40" s="382"/>
      <c r="N40" s="382"/>
      <c r="O40" s="382"/>
      <c r="P40" s="382"/>
    </row>
    <row r="41" spans="2:16" ht="15.6" x14ac:dyDescent="0.3">
      <c r="B41" s="542"/>
      <c r="C41" s="376">
        <v>4</v>
      </c>
      <c r="D41" s="414"/>
      <c r="E41" s="414"/>
      <c r="F41" s="414"/>
      <c r="G41" s="415"/>
      <c r="H41" s="518"/>
      <c r="I41" s="521"/>
      <c r="J41" s="382"/>
      <c r="K41" s="382"/>
      <c r="L41" s="382"/>
      <c r="M41" s="382"/>
      <c r="N41" s="382"/>
      <c r="O41" s="382"/>
      <c r="P41" s="382"/>
    </row>
    <row r="42" spans="2:16" ht="16.2" thickBot="1" x14ac:dyDescent="0.35">
      <c r="B42" s="542"/>
      <c r="C42" s="383">
        <v>5</v>
      </c>
      <c r="D42" s="414"/>
      <c r="E42" s="414"/>
      <c r="F42" s="414"/>
      <c r="G42" s="415"/>
      <c r="H42" s="519"/>
      <c r="I42" s="522"/>
      <c r="J42" s="382"/>
      <c r="K42" s="382"/>
      <c r="L42" s="382"/>
      <c r="M42" s="382"/>
      <c r="N42" s="382"/>
      <c r="O42" s="382"/>
      <c r="P42" s="382"/>
    </row>
    <row r="43" spans="2:16" ht="13.8" thickTop="1" x14ac:dyDescent="0.25">
      <c r="C43" s="382"/>
      <c r="D43" s="392"/>
      <c r="E43" s="392"/>
      <c r="F43" s="392"/>
      <c r="G43" s="408"/>
      <c r="H43" s="412"/>
      <c r="I43" s="412"/>
      <c r="J43" s="382"/>
      <c r="K43" s="382"/>
      <c r="L43" s="382"/>
      <c r="M43" s="382"/>
      <c r="N43" s="382"/>
      <c r="O43" s="382"/>
      <c r="P43" s="382"/>
    </row>
    <row r="44" spans="2:16" ht="13.8" thickBot="1" x14ac:dyDescent="0.3">
      <c r="C44" s="382"/>
      <c r="D44" s="416" t="s">
        <v>478</v>
      </c>
      <c r="E44" s="417">
        <v>2000</v>
      </c>
      <c r="F44" s="416" t="str">
        <f>IF($U$4=$U$5,"ml",IF($U$4=$U$6,"L"))</f>
        <v>ml</v>
      </c>
      <c r="G44" s="408"/>
      <c r="H44" s="412"/>
      <c r="I44" s="412"/>
      <c r="J44" s="382"/>
      <c r="K44" s="382"/>
      <c r="L44" s="382"/>
      <c r="M44" s="382"/>
      <c r="N44" s="382"/>
      <c r="O44" s="382"/>
      <c r="P44" s="382"/>
    </row>
    <row r="45" spans="2:16" ht="16.8" thickTop="1" thickBot="1" x14ac:dyDescent="0.35">
      <c r="B45" s="542">
        <v>3</v>
      </c>
      <c r="C45" s="527" t="s">
        <v>86</v>
      </c>
      <c r="D45" s="530" t="s">
        <v>16</v>
      </c>
      <c r="E45" s="531"/>
      <c r="F45" s="361" t="s">
        <v>3</v>
      </c>
      <c r="G45" s="413" t="s">
        <v>4</v>
      </c>
      <c r="H45" s="523" t="s">
        <v>17</v>
      </c>
      <c r="I45" s="525" t="s">
        <v>216</v>
      </c>
      <c r="J45" s="382"/>
      <c r="K45" s="363" t="s">
        <v>0</v>
      </c>
      <c r="L45" s="364"/>
      <c r="M45" s="364"/>
      <c r="N45" s="365" t="s">
        <v>21</v>
      </c>
      <c r="O45" s="366" t="s">
        <v>22</v>
      </c>
      <c r="P45" s="367" t="s">
        <v>24</v>
      </c>
    </row>
    <row r="46" spans="2:16" ht="18.600000000000001" thickTop="1" x14ac:dyDescent="0.3">
      <c r="B46" s="542"/>
      <c r="C46" s="528"/>
      <c r="D46" s="361" t="s">
        <v>6</v>
      </c>
      <c r="E46" s="361" t="s">
        <v>7</v>
      </c>
      <c r="F46" s="361" t="s">
        <v>8</v>
      </c>
      <c r="G46" s="413" t="s">
        <v>8</v>
      </c>
      <c r="H46" s="524"/>
      <c r="I46" s="526"/>
      <c r="J46" s="382"/>
      <c r="K46" s="368" t="s">
        <v>65</v>
      </c>
      <c r="L46" s="369"/>
      <c r="M46" s="370"/>
      <c r="N46" s="513">
        <f>'punto 3'!J2</f>
        <v>4.1721998668247425E-5</v>
      </c>
      <c r="O46" s="514"/>
      <c r="P46" s="371"/>
    </row>
    <row r="47" spans="2:16" ht="18" x14ac:dyDescent="0.3">
      <c r="B47" s="542"/>
      <c r="C47" s="529"/>
      <c r="D47" s="361" t="str">
        <f>D37</f>
        <v>g</v>
      </c>
      <c r="E47" s="361" t="str">
        <f>E37</f>
        <v>g</v>
      </c>
      <c r="F47" s="372" t="s">
        <v>10</v>
      </c>
      <c r="G47" s="413" t="s">
        <v>72</v>
      </c>
      <c r="H47" s="413" t="s">
        <v>13</v>
      </c>
      <c r="I47" s="413" t="s">
        <v>13</v>
      </c>
      <c r="J47" s="382"/>
      <c r="K47" s="515" t="s">
        <v>1</v>
      </c>
      <c r="L47" s="516"/>
      <c r="M47" s="370"/>
      <c r="N47" s="373"/>
      <c r="O47" s="374"/>
      <c r="P47" s="375"/>
    </row>
    <row r="48" spans="2:16" ht="15.6" x14ac:dyDescent="0.3">
      <c r="B48" s="542"/>
      <c r="C48" s="376">
        <v>1</v>
      </c>
      <c r="D48" s="414"/>
      <c r="E48" s="414"/>
      <c r="F48" s="414"/>
      <c r="G48" s="415"/>
      <c r="H48" s="517">
        <f>'punto 3'!H24</f>
        <v>-2000</v>
      </c>
      <c r="I48" s="520">
        <f>IF(U4=$U$5,'punto 3'!P38*'punto 3'!P40*1000000,IF(U4=$U$6,'punto 3'!P38*'punto 3'!P40))</f>
        <v>0.91498926168697547</v>
      </c>
      <c r="J48" s="382"/>
      <c r="K48" s="509" t="s">
        <v>12</v>
      </c>
      <c r="L48" s="510"/>
      <c r="M48" s="377"/>
      <c r="N48" s="378"/>
      <c r="O48" s="379"/>
      <c r="P48" s="375"/>
    </row>
    <row r="49" spans="2:16" ht="15.6" x14ac:dyDescent="0.3">
      <c r="B49" s="542"/>
      <c r="C49" s="376">
        <v>2</v>
      </c>
      <c r="D49" s="414"/>
      <c r="E49" s="414"/>
      <c r="F49" s="414"/>
      <c r="G49" s="415"/>
      <c r="H49" s="518"/>
      <c r="I49" s="521"/>
      <c r="J49" s="382"/>
      <c r="K49" s="511" t="s">
        <v>23</v>
      </c>
      <c r="L49" s="512"/>
      <c r="M49" s="380"/>
      <c r="N49" s="381"/>
      <c r="O49" s="381"/>
      <c r="P49" s="375"/>
    </row>
    <row r="50" spans="2:16" ht="15.6" x14ac:dyDescent="0.3">
      <c r="B50" s="542"/>
      <c r="C50" s="376">
        <v>3</v>
      </c>
      <c r="D50" s="414"/>
      <c r="E50" s="414"/>
      <c r="F50" s="414"/>
      <c r="G50" s="415"/>
      <c r="H50" s="518"/>
      <c r="I50" s="521"/>
      <c r="J50" s="382"/>
      <c r="K50" s="382"/>
      <c r="L50" s="382"/>
      <c r="M50" s="382"/>
      <c r="N50" s="382"/>
      <c r="O50" s="382"/>
      <c r="P50" s="382"/>
    </row>
    <row r="51" spans="2:16" ht="15.6" x14ac:dyDescent="0.3">
      <c r="B51" s="542"/>
      <c r="C51" s="376">
        <v>4</v>
      </c>
      <c r="D51" s="414"/>
      <c r="E51" s="414"/>
      <c r="F51" s="414"/>
      <c r="G51" s="415"/>
      <c r="H51" s="518"/>
      <c r="I51" s="521"/>
      <c r="J51" s="382"/>
      <c r="K51" s="382"/>
      <c r="L51" s="382"/>
      <c r="M51" s="382"/>
      <c r="N51" s="382"/>
      <c r="O51" s="382"/>
      <c r="P51" s="382"/>
    </row>
    <row r="52" spans="2:16" ht="16.2" thickBot="1" x14ac:dyDescent="0.35">
      <c r="B52" s="542"/>
      <c r="C52" s="383">
        <v>5</v>
      </c>
      <c r="D52" s="414"/>
      <c r="E52" s="414"/>
      <c r="F52" s="414"/>
      <c r="G52" s="415"/>
      <c r="H52" s="519"/>
      <c r="I52" s="522"/>
      <c r="J52" s="382"/>
      <c r="K52" s="382"/>
      <c r="L52" s="382"/>
      <c r="M52" s="382"/>
      <c r="N52" s="382"/>
      <c r="O52" s="382"/>
      <c r="P52" s="382"/>
    </row>
    <row r="53" spans="2:16" ht="13.8" thickTop="1" x14ac:dyDescent="0.25">
      <c r="C53" s="382"/>
      <c r="D53" s="392"/>
      <c r="E53" s="392"/>
      <c r="F53" s="392"/>
      <c r="G53" s="408"/>
      <c r="H53" s="412"/>
      <c r="I53" s="412"/>
      <c r="J53" s="382"/>
      <c r="K53" s="382"/>
      <c r="L53" s="382"/>
      <c r="M53" s="382"/>
      <c r="N53" s="382"/>
      <c r="O53" s="382"/>
      <c r="P53" s="382"/>
    </row>
    <row r="54" spans="2:16" x14ac:dyDescent="0.25">
      <c r="C54" s="382"/>
      <c r="D54" s="392"/>
      <c r="E54" s="392"/>
      <c r="F54" s="392"/>
      <c r="G54" s="408"/>
      <c r="H54" s="412"/>
      <c r="I54" s="412"/>
      <c r="J54" s="382"/>
      <c r="K54" s="382"/>
      <c r="L54" s="382"/>
      <c r="M54" s="382"/>
      <c r="N54" s="382"/>
      <c r="O54" s="382"/>
      <c r="P54" s="382"/>
    </row>
    <row r="55" spans="2:16" ht="13.8" thickBot="1" x14ac:dyDescent="0.3">
      <c r="C55" s="382"/>
      <c r="D55" s="416" t="s">
        <v>478</v>
      </c>
      <c r="E55" s="417">
        <v>10</v>
      </c>
      <c r="F55" s="416" t="str">
        <f>IF($U$4=$U$5,"ml",IF($U$4=$U$6,"L"))</f>
        <v>ml</v>
      </c>
      <c r="G55" s="408"/>
      <c r="H55" s="412"/>
      <c r="I55" s="412"/>
      <c r="J55" s="382"/>
      <c r="K55" s="382"/>
      <c r="L55" s="382"/>
      <c r="M55" s="382"/>
      <c r="N55" s="382"/>
      <c r="O55" s="382"/>
      <c r="P55" s="382"/>
    </row>
    <row r="56" spans="2:16" ht="16.8" thickTop="1" thickBot="1" x14ac:dyDescent="0.35">
      <c r="B56" s="542">
        <v>4</v>
      </c>
      <c r="C56" s="527" t="s">
        <v>86</v>
      </c>
      <c r="D56" s="530" t="s">
        <v>16</v>
      </c>
      <c r="E56" s="531"/>
      <c r="F56" s="361" t="s">
        <v>3</v>
      </c>
      <c r="G56" s="413" t="s">
        <v>4</v>
      </c>
      <c r="H56" s="523" t="s">
        <v>17</v>
      </c>
      <c r="I56" s="525" t="s">
        <v>216</v>
      </c>
      <c r="J56" s="382"/>
      <c r="K56" s="363" t="s">
        <v>0</v>
      </c>
      <c r="L56" s="364"/>
      <c r="M56" s="364"/>
      <c r="N56" s="365" t="s">
        <v>21</v>
      </c>
      <c r="O56" s="366" t="s">
        <v>22</v>
      </c>
      <c r="P56" s="367" t="s">
        <v>24</v>
      </c>
    </row>
    <row r="57" spans="2:16" ht="18.600000000000001" thickTop="1" x14ac:dyDescent="0.3">
      <c r="B57" s="542"/>
      <c r="C57" s="528"/>
      <c r="D57" s="361" t="s">
        <v>6</v>
      </c>
      <c r="E57" s="361" t="s">
        <v>7</v>
      </c>
      <c r="F57" s="361" t="s">
        <v>8</v>
      </c>
      <c r="G57" s="413" t="s">
        <v>8</v>
      </c>
      <c r="H57" s="524"/>
      <c r="I57" s="526"/>
      <c r="J57" s="382"/>
      <c r="K57" s="368" t="s">
        <v>65</v>
      </c>
      <c r="L57" s="369"/>
      <c r="M57" s="370"/>
      <c r="N57" s="513">
        <f>'punto 4'!J2</f>
        <v>4.1721998668247425E-5</v>
      </c>
      <c r="O57" s="514"/>
      <c r="P57" s="371"/>
    </row>
    <row r="58" spans="2:16" ht="18" x14ac:dyDescent="0.3">
      <c r="B58" s="542"/>
      <c r="C58" s="529"/>
      <c r="D58" s="361" t="str">
        <f>D47</f>
        <v>g</v>
      </c>
      <c r="E58" s="361" t="str">
        <f>E47</f>
        <v>g</v>
      </c>
      <c r="F58" s="372" t="s">
        <v>10</v>
      </c>
      <c r="G58" s="413" t="s">
        <v>72</v>
      </c>
      <c r="H58" s="413" t="s">
        <v>13</v>
      </c>
      <c r="I58" s="413" t="s">
        <v>13</v>
      </c>
      <c r="J58" s="382"/>
      <c r="K58" s="515" t="s">
        <v>1</v>
      </c>
      <c r="L58" s="516"/>
      <c r="M58" s="370"/>
      <c r="N58" s="373"/>
      <c r="O58" s="374"/>
      <c r="P58" s="375"/>
    </row>
    <row r="59" spans="2:16" ht="15.6" x14ac:dyDescent="0.3">
      <c r="B59" s="542"/>
      <c r="C59" s="376">
        <v>1</v>
      </c>
      <c r="D59" s="414"/>
      <c r="E59" s="414"/>
      <c r="F59" s="414"/>
      <c r="G59" s="415"/>
      <c r="H59" s="517">
        <f>'punto 4'!H24</f>
        <v>-10</v>
      </c>
      <c r="I59" s="520">
        <f>IF(U4=$U$5,'punto 4'!P38*'punto 4'!P40*1000000,IF(U4=$U$6,'punto 4'!P38*'punto 4'!P40))</f>
        <v>0.91498926168697547</v>
      </c>
      <c r="J59" s="382"/>
      <c r="K59" s="509" t="s">
        <v>12</v>
      </c>
      <c r="L59" s="510"/>
      <c r="M59" s="377"/>
      <c r="N59" s="378"/>
      <c r="O59" s="379"/>
      <c r="P59" s="375"/>
    </row>
    <row r="60" spans="2:16" ht="15.6" x14ac:dyDescent="0.3">
      <c r="B60" s="542"/>
      <c r="C60" s="376">
        <v>2</v>
      </c>
      <c r="D60" s="414"/>
      <c r="E60" s="414"/>
      <c r="F60" s="414"/>
      <c r="G60" s="415"/>
      <c r="H60" s="518"/>
      <c r="I60" s="521"/>
      <c r="J60" s="382"/>
      <c r="K60" s="511" t="s">
        <v>23</v>
      </c>
      <c r="L60" s="512"/>
      <c r="M60" s="380"/>
      <c r="N60" s="381"/>
      <c r="O60" s="381"/>
      <c r="P60" s="375"/>
    </row>
    <row r="61" spans="2:16" ht="15.6" x14ac:dyDescent="0.3">
      <c r="B61" s="542"/>
      <c r="C61" s="376">
        <v>3</v>
      </c>
      <c r="D61" s="414"/>
      <c r="E61" s="414"/>
      <c r="F61" s="414"/>
      <c r="G61" s="415"/>
      <c r="H61" s="518"/>
      <c r="I61" s="521"/>
      <c r="J61" s="382"/>
      <c r="K61" s="382"/>
      <c r="L61" s="382"/>
      <c r="M61" s="382"/>
      <c r="N61" s="382"/>
      <c r="O61" s="382"/>
      <c r="P61" s="382"/>
    </row>
    <row r="62" spans="2:16" ht="15.6" x14ac:dyDescent="0.3">
      <c r="B62" s="542"/>
      <c r="C62" s="376">
        <v>4</v>
      </c>
      <c r="D62" s="414"/>
      <c r="E62" s="414"/>
      <c r="F62" s="414"/>
      <c r="G62" s="415"/>
      <c r="H62" s="518"/>
      <c r="I62" s="521"/>
      <c r="J62" s="382"/>
      <c r="K62" s="382"/>
      <c r="L62" s="382"/>
      <c r="M62" s="382"/>
      <c r="N62" s="382"/>
      <c r="O62" s="382"/>
      <c r="P62" s="382"/>
    </row>
    <row r="63" spans="2:16" ht="16.2" thickBot="1" x14ac:dyDescent="0.35">
      <c r="B63" s="542"/>
      <c r="C63" s="383">
        <v>5</v>
      </c>
      <c r="D63" s="414"/>
      <c r="E63" s="414"/>
      <c r="F63" s="414"/>
      <c r="G63" s="415"/>
      <c r="H63" s="519"/>
      <c r="I63" s="522"/>
      <c r="J63" s="382"/>
      <c r="K63" s="382"/>
      <c r="L63" s="382"/>
      <c r="M63" s="382"/>
      <c r="N63" s="382"/>
      <c r="O63" s="382"/>
      <c r="P63" s="382"/>
    </row>
    <row r="64" spans="2:16" ht="13.8" thickTop="1" x14ac:dyDescent="0.25">
      <c r="C64" s="382"/>
      <c r="D64" s="392"/>
      <c r="E64" s="392"/>
      <c r="F64" s="392"/>
      <c r="G64" s="408"/>
      <c r="H64" s="412"/>
      <c r="I64" s="412"/>
      <c r="J64" s="382"/>
      <c r="K64" s="382"/>
      <c r="L64" s="382"/>
      <c r="M64" s="382"/>
      <c r="N64" s="382"/>
      <c r="O64" s="382"/>
      <c r="P64" s="382"/>
    </row>
    <row r="65" spans="2:16" x14ac:dyDescent="0.25">
      <c r="C65" s="382"/>
      <c r="D65" s="392"/>
      <c r="E65" s="392"/>
      <c r="F65" s="392"/>
      <c r="G65" s="408"/>
      <c r="H65" s="412"/>
      <c r="I65" s="412"/>
      <c r="J65" s="382"/>
      <c r="K65" s="382"/>
      <c r="L65" s="382"/>
      <c r="M65" s="382"/>
      <c r="N65" s="382"/>
      <c r="O65" s="382"/>
      <c r="P65" s="382"/>
    </row>
    <row r="66" spans="2:16" ht="13.8" thickBot="1" x14ac:dyDescent="0.3">
      <c r="C66" s="382"/>
      <c r="D66" s="416" t="s">
        <v>478</v>
      </c>
      <c r="E66" s="417">
        <v>10</v>
      </c>
      <c r="F66" s="416" t="str">
        <f>IF($U$4=$U$5,"ml",IF($U$4=$U$6,"L"))</f>
        <v>ml</v>
      </c>
      <c r="G66" s="408"/>
      <c r="H66" s="412"/>
      <c r="I66" s="412"/>
      <c r="J66" s="382"/>
      <c r="K66" s="382"/>
      <c r="L66" s="382"/>
      <c r="M66" s="382"/>
      <c r="N66" s="382"/>
      <c r="O66" s="382"/>
      <c r="P66" s="382"/>
    </row>
    <row r="67" spans="2:16" ht="16.8" thickTop="1" thickBot="1" x14ac:dyDescent="0.35">
      <c r="B67" s="542">
        <v>5</v>
      </c>
      <c r="C67" s="527" t="s">
        <v>86</v>
      </c>
      <c r="D67" s="530" t="s">
        <v>16</v>
      </c>
      <c r="E67" s="531"/>
      <c r="F67" s="361" t="s">
        <v>3</v>
      </c>
      <c r="G67" s="413" t="s">
        <v>4</v>
      </c>
      <c r="H67" s="523" t="s">
        <v>17</v>
      </c>
      <c r="I67" s="525" t="s">
        <v>216</v>
      </c>
      <c r="J67" s="382"/>
      <c r="K67" s="363" t="s">
        <v>0</v>
      </c>
      <c r="L67" s="364"/>
      <c r="M67" s="364"/>
      <c r="N67" s="365" t="s">
        <v>21</v>
      </c>
      <c r="O67" s="366" t="s">
        <v>22</v>
      </c>
      <c r="P67" s="367" t="s">
        <v>24</v>
      </c>
    </row>
    <row r="68" spans="2:16" ht="18.600000000000001" thickTop="1" x14ac:dyDescent="0.3">
      <c r="B68" s="542"/>
      <c r="C68" s="528"/>
      <c r="D68" s="361" t="s">
        <v>6</v>
      </c>
      <c r="E68" s="361" t="s">
        <v>7</v>
      </c>
      <c r="F68" s="361" t="s">
        <v>8</v>
      </c>
      <c r="G68" s="413" t="s">
        <v>8</v>
      </c>
      <c r="H68" s="524"/>
      <c r="I68" s="526"/>
      <c r="J68" s="382"/>
      <c r="K68" s="368" t="s">
        <v>65</v>
      </c>
      <c r="L68" s="369"/>
      <c r="M68" s="370"/>
      <c r="N68" s="513">
        <f>'punto 5'!J2</f>
        <v>4.1721998668247425E-5</v>
      </c>
      <c r="O68" s="514"/>
      <c r="P68" s="371"/>
    </row>
    <row r="69" spans="2:16" ht="18" x14ac:dyDescent="0.3">
      <c r="B69" s="542"/>
      <c r="C69" s="529"/>
      <c r="D69" s="361" t="str">
        <f>D58</f>
        <v>g</v>
      </c>
      <c r="E69" s="361" t="str">
        <f>E58</f>
        <v>g</v>
      </c>
      <c r="F69" s="372" t="s">
        <v>10</v>
      </c>
      <c r="G69" s="413" t="s">
        <v>72</v>
      </c>
      <c r="H69" s="413" t="s">
        <v>13</v>
      </c>
      <c r="I69" s="413" t="s">
        <v>13</v>
      </c>
      <c r="J69" s="382"/>
      <c r="K69" s="515" t="s">
        <v>1</v>
      </c>
      <c r="L69" s="516"/>
      <c r="M69" s="370"/>
      <c r="N69" s="373"/>
      <c r="O69" s="374"/>
      <c r="P69" s="375"/>
    </row>
    <row r="70" spans="2:16" ht="15.6" x14ac:dyDescent="0.3">
      <c r="B70" s="542"/>
      <c r="C70" s="376">
        <v>1</v>
      </c>
      <c r="D70" s="414"/>
      <c r="E70" s="414"/>
      <c r="F70" s="414"/>
      <c r="G70" s="415"/>
      <c r="H70" s="517">
        <f>'punto 5'!H24</f>
        <v>-10</v>
      </c>
      <c r="I70" s="520">
        <f>IF(U4=$U$5,'punto 5'!P38*'punto 5'!P40*1000000,IF(U4=$U$6,'punto 5'!P38*'punto 5'!P40))</f>
        <v>0.91498926168697547</v>
      </c>
      <c r="J70" s="382"/>
      <c r="K70" s="509" t="s">
        <v>12</v>
      </c>
      <c r="L70" s="510"/>
      <c r="M70" s="377"/>
      <c r="N70" s="378"/>
      <c r="O70" s="379"/>
      <c r="P70" s="375"/>
    </row>
    <row r="71" spans="2:16" ht="15.6" x14ac:dyDescent="0.3">
      <c r="B71" s="542"/>
      <c r="C71" s="376">
        <v>2</v>
      </c>
      <c r="D71" s="414"/>
      <c r="E71" s="414"/>
      <c r="F71" s="414"/>
      <c r="G71" s="415"/>
      <c r="H71" s="518"/>
      <c r="I71" s="521"/>
      <c r="J71" s="382"/>
      <c r="K71" s="511" t="s">
        <v>23</v>
      </c>
      <c r="L71" s="512"/>
      <c r="M71" s="380"/>
      <c r="N71" s="381"/>
      <c r="O71" s="381"/>
      <c r="P71" s="375"/>
    </row>
    <row r="72" spans="2:16" ht="15.6" x14ac:dyDescent="0.3">
      <c r="B72" s="542"/>
      <c r="C72" s="376">
        <v>3</v>
      </c>
      <c r="D72" s="414"/>
      <c r="E72" s="414"/>
      <c r="F72" s="414"/>
      <c r="G72" s="415"/>
      <c r="H72" s="518"/>
      <c r="I72" s="521"/>
      <c r="J72" s="382"/>
      <c r="K72" s="382"/>
      <c r="L72" s="382"/>
      <c r="M72" s="382"/>
      <c r="N72" s="382"/>
      <c r="O72" s="382"/>
      <c r="P72" s="382"/>
    </row>
    <row r="73" spans="2:16" ht="15.6" x14ac:dyDescent="0.3">
      <c r="B73" s="542"/>
      <c r="C73" s="376">
        <v>4</v>
      </c>
      <c r="D73" s="414"/>
      <c r="E73" s="414"/>
      <c r="F73" s="414"/>
      <c r="G73" s="415"/>
      <c r="H73" s="518"/>
      <c r="I73" s="521"/>
      <c r="J73" s="382"/>
      <c r="K73" s="382"/>
      <c r="L73" s="382"/>
      <c r="M73" s="382"/>
      <c r="N73" s="382"/>
      <c r="O73" s="382"/>
      <c r="P73" s="382"/>
    </row>
    <row r="74" spans="2:16" ht="16.2" thickBot="1" x14ac:dyDescent="0.35">
      <c r="B74" s="542"/>
      <c r="C74" s="383">
        <v>5</v>
      </c>
      <c r="D74" s="414"/>
      <c r="E74" s="414"/>
      <c r="F74" s="414"/>
      <c r="G74" s="415"/>
      <c r="H74" s="519"/>
      <c r="I74" s="522"/>
      <c r="J74" s="382"/>
      <c r="K74" s="382"/>
      <c r="L74" s="382"/>
      <c r="M74" s="382"/>
      <c r="N74" s="382"/>
      <c r="O74" s="382"/>
      <c r="P74" s="382"/>
    </row>
    <row r="75" spans="2:16" ht="13.8" thickTop="1" x14ac:dyDescent="0.25"/>
    <row r="77" spans="2:16" ht="15" customHeight="1" x14ac:dyDescent="0.25">
      <c r="B77" s="89"/>
      <c r="C77" s="90"/>
      <c r="D77" s="92"/>
      <c r="E77" s="92"/>
      <c r="F77" s="83"/>
      <c r="G77" s="83"/>
      <c r="H77" s="84"/>
      <c r="I77" s="84"/>
    </row>
    <row r="78" spans="2:16" ht="15" customHeight="1" x14ac:dyDescent="0.25">
      <c r="B78" s="89"/>
      <c r="C78" s="91"/>
      <c r="D78" s="83"/>
      <c r="E78" s="83"/>
      <c r="F78" s="83"/>
      <c r="G78" s="83"/>
      <c r="I78" s="84"/>
    </row>
    <row r="79" spans="2:16" ht="15" customHeight="1" x14ac:dyDescent="0.25">
      <c r="B79" s="89"/>
      <c r="C79" s="91"/>
      <c r="D79" s="83"/>
      <c r="E79" s="83"/>
      <c r="F79" s="85"/>
      <c r="G79" s="83"/>
      <c r="H79" s="83"/>
      <c r="I79" s="83"/>
    </row>
    <row r="80" spans="2:16" ht="15.75" customHeight="1" x14ac:dyDescent="0.3">
      <c r="B80" s="89"/>
      <c r="C80" s="86"/>
      <c r="D80" s="93"/>
      <c r="E80" s="94"/>
      <c r="F80" s="95"/>
      <c r="G80" s="87"/>
      <c r="H80" s="87"/>
      <c r="I80" s="88"/>
    </row>
    <row r="81" spans="2:9" ht="15.75" customHeight="1" x14ac:dyDescent="0.3">
      <c r="B81" s="89"/>
      <c r="C81" s="86"/>
      <c r="D81" s="93"/>
      <c r="E81" s="94"/>
      <c r="F81" s="95"/>
      <c r="G81" s="87"/>
      <c r="H81" s="87"/>
      <c r="I81" s="88"/>
    </row>
    <row r="82" spans="2:9" ht="15.75" customHeight="1" x14ac:dyDescent="0.25">
      <c r="B82" s="89"/>
      <c r="C82" s="11">
        <v>1</v>
      </c>
      <c r="D82" s="11">
        <v>2</v>
      </c>
      <c r="F82" s="532"/>
      <c r="G82" s="532"/>
      <c r="I82" s="88"/>
    </row>
    <row r="83" spans="2:9" ht="79.5" customHeight="1" x14ac:dyDescent="0.3">
      <c r="B83" s="89"/>
      <c r="C83" s="100" t="s">
        <v>94</v>
      </c>
      <c r="D83" s="96" t="s">
        <v>93</v>
      </c>
      <c r="F83" s="97"/>
      <c r="G83" s="97"/>
      <c r="H83" s="97"/>
      <c r="I83" s="88"/>
    </row>
    <row r="84" spans="2:9" ht="15.75" customHeight="1" x14ac:dyDescent="0.3">
      <c r="B84" s="103">
        <v>1</v>
      </c>
      <c r="C84" s="101" t="s">
        <v>95</v>
      </c>
      <c r="D84" s="99">
        <v>9.9000000000000001E-6</v>
      </c>
      <c r="F84" s="98"/>
      <c r="G84" s="98"/>
      <c r="H84" s="98"/>
      <c r="I84" s="88"/>
    </row>
    <row r="85" spans="2:9" ht="15.6" x14ac:dyDescent="0.3">
      <c r="B85" s="7">
        <v>2</v>
      </c>
      <c r="C85" s="101" t="s">
        <v>96</v>
      </c>
      <c r="D85" s="99">
        <v>1.5E-5</v>
      </c>
      <c r="F85" s="98"/>
      <c r="G85" s="98"/>
      <c r="H85" s="98"/>
    </row>
    <row r="86" spans="2:9" ht="15.6" x14ac:dyDescent="0.3">
      <c r="B86" s="7">
        <v>3</v>
      </c>
      <c r="C86" s="101" t="s">
        <v>97</v>
      </c>
      <c r="D86" s="99">
        <v>2.5000000000000001E-5</v>
      </c>
      <c r="F86" s="98"/>
      <c r="G86" s="98"/>
      <c r="H86" s="98"/>
    </row>
    <row r="87" spans="2:9" ht="15" x14ac:dyDescent="0.3">
      <c r="B87" s="104">
        <v>4</v>
      </c>
      <c r="C87" s="101" t="s">
        <v>98</v>
      </c>
      <c r="D87" s="99">
        <v>2.4000000000000001E-4</v>
      </c>
      <c r="F87" s="98"/>
      <c r="G87" s="98"/>
      <c r="H87" s="98"/>
    </row>
    <row r="88" spans="2:9" ht="15" x14ac:dyDescent="0.3">
      <c r="B88" s="104">
        <v>5</v>
      </c>
      <c r="C88" s="101" t="s">
        <v>99</v>
      </c>
      <c r="D88" s="99">
        <v>5.9999999999999995E-4</v>
      </c>
      <c r="F88" s="98"/>
      <c r="G88" s="98"/>
      <c r="H88" s="98"/>
    </row>
    <row r="89" spans="2:9" ht="15" x14ac:dyDescent="0.3">
      <c r="B89" s="104">
        <v>6</v>
      </c>
      <c r="C89" s="102" t="s">
        <v>100</v>
      </c>
      <c r="D89" s="99">
        <v>5.1799999999999999E-5</v>
      </c>
      <c r="F89" s="98"/>
      <c r="G89" s="98"/>
      <c r="H89" s="98"/>
    </row>
    <row r="90" spans="2:9" ht="15" x14ac:dyDescent="0.3">
      <c r="B90" s="104">
        <v>7</v>
      </c>
      <c r="C90" s="102" t="s">
        <v>101</v>
      </c>
      <c r="D90" s="99">
        <v>4.7700000000000001E-5</v>
      </c>
      <c r="F90" s="98"/>
      <c r="G90" s="98"/>
      <c r="H90" s="98"/>
    </row>
    <row r="103" spans="3:4" x14ac:dyDescent="0.25">
      <c r="C103" t="s">
        <v>495</v>
      </c>
      <c r="D103" s="11" t="s">
        <v>496</v>
      </c>
    </row>
    <row r="104" spans="3:4" x14ac:dyDescent="0.25">
      <c r="C104" t="s">
        <v>497</v>
      </c>
      <c r="D104" s="462">
        <v>43780</v>
      </c>
    </row>
    <row r="105" spans="3:4" x14ac:dyDescent="0.25">
      <c r="C105" t="s">
        <v>498</v>
      </c>
      <c r="D105" s="11">
        <v>2</v>
      </c>
    </row>
    <row r="106" spans="3:4" x14ac:dyDescent="0.25">
      <c r="D106" s="11"/>
    </row>
    <row r="107" spans="3:4" x14ac:dyDescent="0.25">
      <c r="C107" t="s">
        <v>499</v>
      </c>
      <c r="D107" s="462">
        <v>43780</v>
      </c>
    </row>
    <row r="108" spans="3:4" x14ac:dyDescent="0.25">
      <c r="C108" t="s">
        <v>500</v>
      </c>
      <c r="D108" s="11" t="s">
        <v>501</v>
      </c>
    </row>
  </sheetData>
  <mergeCells count="79">
    <mergeCell ref="N25:O25"/>
    <mergeCell ref="R3:S3"/>
    <mergeCell ref="R5:S5"/>
    <mergeCell ref="K6:L7"/>
    <mergeCell ref="C20:L20"/>
    <mergeCell ref="I23:J23"/>
    <mergeCell ref="K23:L23"/>
    <mergeCell ref="G14:I14"/>
    <mergeCell ref="K4:L4"/>
    <mergeCell ref="D6:F6"/>
    <mergeCell ref="F82:G82"/>
    <mergeCell ref="B67:B74"/>
    <mergeCell ref="C67:C69"/>
    <mergeCell ref="D67:E67"/>
    <mergeCell ref="C24:C26"/>
    <mergeCell ref="B35:B42"/>
    <mergeCell ref="B45:B52"/>
    <mergeCell ref="C45:C47"/>
    <mergeCell ref="D45:E45"/>
    <mergeCell ref="B56:B63"/>
    <mergeCell ref="U3:V3"/>
    <mergeCell ref="U4:V4"/>
    <mergeCell ref="K10:L10"/>
    <mergeCell ref="K12:L12"/>
    <mergeCell ref="K5:L5"/>
    <mergeCell ref="K22:L22"/>
    <mergeCell ref="K3:L3"/>
    <mergeCell ref="R4:S4"/>
    <mergeCell ref="C2:L2"/>
    <mergeCell ref="D24:E24"/>
    <mergeCell ref="K8:L8"/>
    <mergeCell ref="B24:B31"/>
    <mergeCell ref="K9:L9"/>
    <mergeCell ref="K11:L11"/>
    <mergeCell ref="K26:L26"/>
    <mergeCell ref="K27:L27"/>
    <mergeCell ref="K28:L28"/>
    <mergeCell ref="I3:J3"/>
    <mergeCell ref="C56:C58"/>
    <mergeCell ref="D56:E56"/>
    <mergeCell ref="C35:C37"/>
    <mergeCell ref="D35:E35"/>
    <mergeCell ref="I22:J22"/>
    <mergeCell ref="I27:I31"/>
    <mergeCell ref="H27:H31"/>
    <mergeCell ref="I24:I25"/>
    <mergeCell ref="H24:H25"/>
    <mergeCell ref="H38:H42"/>
    <mergeCell ref="H35:H36"/>
    <mergeCell ref="I35:I36"/>
    <mergeCell ref="I38:I42"/>
    <mergeCell ref="H45:H46"/>
    <mergeCell ref="I45:I46"/>
    <mergeCell ref="H48:H52"/>
    <mergeCell ref="I48:I52"/>
    <mergeCell ref="H56:H57"/>
    <mergeCell ref="I56:I57"/>
    <mergeCell ref="H59:H63"/>
    <mergeCell ref="I59:I63"/>
    <mergeCell ref="H67:H68"/>
    <mergeCell ref="I67:I68"/>
    <mergeCell ref="H70:H74"/>
    <mergeCell ref="I70:I74"/>
    <mergeCell ref="N36:O36"/>
    <mergeCell ref="K37:L37"/>
    <mergeCell ref="K38:L38"/>
    <mergeCell ref="K39:L39"/>
    <mergeCell ref="N46:O46"/>
    <mergeCell ref="K47:L47"/>
    <mergeCell ref="K48:L48"/>
    <mergeCell ref="K49:L49"/>
    <mergeCell ref="K70:L70"/>
    <mergeCell ref="K71:L71"/>
    <mergeCell ref="N57:O57"/>
    <mergeCell ref="K58:L58"/>
    <mergeCell ref="K59:L59"/>
    <mergeCell ref="K60:L60"/>
    <mergeCell ref="N68:O68"/>
    <mergeCell ref="K69:L69"/>
  </mergeCells>
  <conditionalFormatting sqref="D6">
    <cfRule type="duplicateValues" dxfId="21" priority="1"/>
  </conditionalFormatting>
  <dataValidations count="4">
    <dataValidation type="list" allowBlank="1" showInputMessage="1" showErrorMessage="1" sqref="K4:L4" xr:uid="{F87A5732-3B1E-4ECA-9632-2C515846718B}">
      <formula1>$C$84:$C$90</formula1>
    </dataValidation>
    <dataValidation type="list" allowBlank="1" showInputMessage="1" showErrorMessage="1" sqref="N4" xr:uid="{B126C140-E819-4F6B-A75D-4B2BF9DDA29D}">
      <formula1>$N$6:$N$8</formula1>
    </dataValidation>
    <dataValidation type="list" allowBlank="1" showInputMessage="1" showErrorMessage="1" sqref="R4:S4" xr:uid="{0CA47B1F-3525-4D86-9F73-7629FFAECE83}">
      <formula1>$S$13:$S$15</formula1>
    </dataValidation>
    <dataValidation type="list" allowBlank="1" showInputMessage="1" showErrorMessage="1" sqref="U4:V4" xr:uid="{EC8B7684-D760-4099-90BD-7E05392C068C}">
      <formula1>$U$5:$U$6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BE8F-B412-456F-98B1-C2C07514C314}">
  <dimension ref="B1:AA108"/>
  <sheetViews>
    <sheetView view="pageLayout" zoomScaleNormal="100" workbookViewId="0">
      <selection activeCell="K67" sqref="K67"/>
    </sheetView>
  </sheetViews>
  <sheetFormatPr baseColWidth="10" defaultRowHeight="13.2" x14ac:dyDescent="0.25"/>
  <cols>
    <col min="1" max="1" width="3.109375" style="419" customWidth="1"/>
    <col min="2" max="3" width="7.5546875" style="419" customWidth="1"/>
    <col min="4" max="4" width="5.44140625" style="419" customWidth="1"/>
    <col min="5" max="5" width="7.5546875" style="419" customWidth="1"/>
    <col min="6" max="6" width="5.88671875" style="419" customWidth="1"/>
    <col min="7" max="7" width="6" style="419" customWidth="1"/>
    <col min="8" max="10" width="7.5546875" style="419" customWidth="1"/>
    <col min="11" max="11" width="9" style="419" customWidth="1"/>
    <col min="12" max="12" width="7.5546875" style="419" customWidth="1"/>
    <col min="13" max="13" width="6.109375" style="419" customWidth="1"/>
    <col min="14" max="256" width="8.88671875" style="419" customWidth="1"/>
    <col min="257" max="16384" width="11.5546875" style="419"/>
  </cols>
  <sheetData>
    <row r="1" spans="2:13" x14ac:dyDescent="0.25"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</row>
    <row r="2" spans="2:13" x14ac:dyDescent="0.25"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</row>
    <row r="3" spans="2:13" x14ac:dyDescent="0.25"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</row>
    <row r="4" spans="2:13" x14ac:dyDescent="0.25"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</row>
    <row r="5" spans="2:13" x14ac:dyDescent="0.25"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2:13" ht="19.5" customHeight="1" x14ac:dyDescent="0.25">
      <c r="B6" s="420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2:13" x14ac:dyDescent="0.25"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2:13" x14ac:dyDescent="0.25">
      <c r="B8" s="421" t="s">
        <v>437</v>
      </c>
      <c r="C8" s="420"/>
      <c r="D8" s="420"/>
      <c r="E8" s="420"/>
      <c r="F8" s="420"/>
      <c r="G8" s="420"/>
      <c r="H8" s="434" t="str">
        <f>Datos!K3</f>
        <v>NI-MC-V-XXX-2020</v>
      </c>
      <c r="I8" s="420"/>
      <c r="J8" s="420"/>
      <c r="K8" s="420"/>
      <c r="L8" s="420"/>
      <c r="M8" s="420"/>
    </row>
    <row r="9" spans="2:13" x14ac:dyDescent="0.25">
      <c r="B9" s="421" t="s">
        <v>438</v>
      </c>
      <c r="C9" s="420"/>
      <c r="D9" s="420"/>
      <c r="E9" s="420"/>
      <c r="F9" s="420"/>
      <c r="G9" s="420"/>
      <c r="H9" s="423" t="str">
        <f>Datos!G3</f>
        <v>NI-CS-0126-20</v>
      </c>
      <c r="I9" s="420"/>
      <c r="J9" s="420"/>
      <c r="K9" s="420"/>
      <c r="L9" s="420"/>
      <c r="M9" s="420"/>
    </row>
    <row r="10" spans="2:13" x14ac:dyDescent="0.25">
      <c r="B10" s="421" t="s">
        <v>439</v>
      </c>
      <c r="C10" s="420"/>
      <c r="D10" s="420"/>
      <c r="E10" s="420"/>
      <c r="F10" s="420"/>
      <c r="G10" s="420"/>
      <c r="H10" s="649">
        <f>Datos!D3</f>
        <v>45509</v>
      </c>
      <c r="I10" s="649"/>
      <c r="J10" s="420"/>
      <c r="K10" s="420"/>
      <c r="L10" s="420"/>
      <c r="M10" s="420"/>
    </row>
    <row r="11" spans="2:13" x14ac:dyDescent="0.25">
      <c r="B11" s="421" t="s">
        <v>490</v>
      </c>
      <c r="C11" s="420"/>
      <c r="D11" s="420"/>
      <c r="E11" s="420"/>
      <c r="F11" s="420"/>
      <c r="G11" s="420"/>
      <c r="H11" s="639"/>
      <c r="I11" s="639"/>
      <c r="J11" s="420"/>
      <c r="K11" s="420"/>
      <c r="L11" s="420"/>
      <c r="M11" s="420"/>
    </row>
    <row r="12" spans="2:13" x14ac:dyDescent="0.25">
      <c r="B12" s="421" t="s">
        <v>440</v>
      </c>
      <c r="C12" s="420"/>
      <c r="D12" s="420"/>
      <c r="E12" s="420"/>
      <c r="F12" s="420"/>
      <c r="G12" s="420"/>
      <c r="H12" s="649">
        <f ca="1">NOW()</f>
        <v>45510.703259490743</v>
      </c>
      <c r="I12" s="649"/>
      <c r="J12" s="420"/>
      <c r="K12" s="420"/>
      <c r="L12" s="420"/>
      <c r="M12" s="420"/>
    </row>
    <row r="13" spans="2:13" x14ac:dyDescent="0.25">
      <c r="B13" s="421" t="s">
        <v>441</v>
      </c>
      <c r="C13" s="420"/>
      <c r="D13" s="420"/>
      <c r="E13" s="420"/>
      <c r="F13" s="420"/>
      <c r="G13" s="420"/>
      <c r="H13" s="650" t="str">
        <f>Datos!D10</f>
        <v>probeta</v>
      </c>
      <c r="I13" s="650"/>
      <c r="J13" s="420"/>
      <c r="K13" s="420"/>
      <c r="L13" s="420"/>
      <c r="M13" s="420"/>
    </row>
    <row r="14" spans="2:13" x14ac:dyDescent="0.25">
      <c r="B14" s="421" t="s">
        <v>442</v>
      </c>
      <c r="C14" s="420"/>
      <c r="D14" s="420"/>
      <c r="E14" s="420"/>
      <c r="F14" s="420"/>
      <c r="G14" s="420"/>
      <c r="H14" s="650" t="str">
        <f>Datos!D12</f>
        <v>Kimax</v>
      </c>
      <c r="I14" s="650"/>
      <c r="J14" s="650"/>
      <c r="K14" s="420"/>
      <c r="L14" s="420"/>
      <c r="M14" s="420"/>
    </row>
    <row r="15" spans="2:13" x14ac:dyDescent="0.25">
      <c r="B15" s="421" t="s">
        <v>69</v>
      </c>
      <c r="C15" s="420"/>
      <c r="D15" s="420"/>
      <c r="E15" s="420"/>
      <c r="F15" s="420"/>
      <c r="G15" s="420"/>
      <c r="H15" s="650">
        <f>Datos!D15</f>
        <v>1234567</v>
      </c>
      <c r="I15" s="650"/>
      <c r="J15" s="650"/>
      <c r="K15" s="420"/>
      <c r="L15" s="420"/>
      <c r="M15" s="420"/>
    </row>
    <row r="16" spans="2:13" x14ac:dyDescent="0.25">
      <c r="B16" s="421" t="s">
        <v>476</v>
      </c>
      <c r="C16" s="420"/>
      <c r="D16" s="420"/>
      <c r="E16" s="420"/>
      <c r="F16" s="420"/>
      <c r="G16" s="420"/>
      <c r="H16" s="450">
        <f>Datos!D8</f>
        <v>0</v>
      </c>
      <c r="I16" s="420"/>
      <c r="J16" s="420"/>
      <c r="K16" s="420"/>
      <c r="L16" s="420"/>
      <c r="M16" s="420"/>
    </row>
    <row r="17" spans="2:13" x14ac:dyDescent="0.25">
      <c r="B17" s="421" t="s">
        <v>477</v>
      </c>
      <c r="C17" s="420"/>
      <c r="D17" s="420"/>
      <c r="E17" s="420"/>
      <c r="F17" s="420"/>
      <c r="G17" s="420"/>
      <c r="H17" s="450">
        <f>Datos!D9</f>
        <v>0</v>
      </c>
      <c r="I17" s="420"/>
      <c r="J17" s="420"/>
      <c r="K17" s="420"/>
      <c r="L17" s="420"/>
      <c r="M17" s="420"/>
    </row>
    <row r="18" spans="2:13" x14ac:dyDescent="0.25">
      <c r="B18" s="421" t="s">
        <v>443</v>
      </c>
      <c r="C18" s="420"/>
      <c r="D18" s="420"/>
      <c r="E18" s="420"/>
      <c r="F18" s="420"/>
      <c r="G18" s="420"/>
      <c r="H18" s="450" t="str">
        <f>Datos!D13</f>
        <v>NI-MC-MV-07</v>
      </c>
      <c r="I18" s="420"/>
      <c r="J18" s="420"/>
      <c r="K18" s="420"/>
      <c r="L18" s="420"/>
      <c r="M18" s="420"/>
    </row>
    <row r="19" spans="2:13" x14ac:dyDescent="0.25">
      <c r="B19" s="421" t="s">
        <v>444</v>
      </c>
      <c r="C19" s="420"/>
      <c r="D19" s="420"/>
      <c r="E19" s="420"/>
      <c r="F19" s="420"/>
      <c r="G19" s="420"/>
      <c r="H19" s="450" t="str">
        <f>Datos!D6</f>
        <v>Agropecuaria Raminsa S.A.</v>
      </c>
      <c r="I19" s="420"/>
      <c r="J19" s="420"/>
      <c r="K19" s="420"/>
      <c r="L19" s="420"/>
      <c r="M19" s="420"/>
    </row>
    <row r="20" spans="2:13" x14ac:dyDescent="0.25">
      <c r="B20" s="421" t="s">
        <v>445</v>
      </c>
      <c r="C20" s="420"/>
      <c r="D20" s="420"/>
      <c r="E20" s="420"/>
      <c r="F20" s="420"/>
      <c r="G20" s="420"/>
      <c r="H20" s="450" t="str">
        <f>Datos!D7</f>
        <v>Plaza España, Edificio Malaga Módulo E8</v>
      </c>
      <c r="I20" s="420"/>
      <c r="J20" s="420"/>
      <c r="K20" s="420"/>
      <c r="L20" s="420"/>
      <c r="M20" s="420"/>
    </row>
    <row r="21" spans="2:13" ht="12.75" customHeight="1" x14ac:dyDescent="0.25">
      <c r="B21" s="421" t="s">
        <v>446</v>
      </c>
      <c r="C21" s="420"/>
      <c r="D21" s="420"/>
      <c r="E21" s="420"/>
      <c r="F21" s="420"/>
      <c r="G21" s="420"/>
      <c r="H21" s="672" t="s">
        <v>489</v>
      </c>
      <c r="I21" s="672"/>
      <c r="J21" s="672"/>
      <c r="K21" s="672"/>
      <c r="L21" s="672"/>
      <c r="M21" s="453"/>
    </row>
    <row r="22" spans="2:13" x14ac:dyDescent="0.25">
      <c r="B22" s="421"/>
      <c r="C22" s="420"/>
      <c r="D22" s="420"/>
      <c r="E22" s="420"/>
      <c r="F22" s="420"/>
      <c r="G22" s="420"/>
      <c r="H22" s="453"/>
      <c r="I22" s="453"/>
      <c r="J22" s="453"/>
      <c r="K22" s="453"/>
      <c r="L22" s="453"/>
      <c r="M22" s="453"/>
    </row>
    <row r="23" spans="2:13" x14ac:dyDescent="0.25">
      <c r="B23" s="421"/>
      <c r="C23" s="420"/>
      <c r="D23" s="420"/>
      <c r="E23" s="420"/>
      <c r="F23" s="420"/>
      <c r="G23" s="420"/>
      <c r="H23" s="452"/>
      <c r="I23" s="452"/>
      <c r="J23" s="452"/>
      <c r="K23" s="452"/>
      <c r="L23" s="452"/>
      <c r="M23" s="452"/>
    </row>
    <row r="24" spans="2:13" x14ac:dyDescent="0.25">
      <c r="B24" s="421" t="s">
        <v>447</v>
      </c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</row>
    <row r="25" spans="2:13" x14ac:dyDescent="0.25">
      <c r="B25" s="673" t="s">
        <v>448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</row>
    <row r="26" spans="2:13" ht="8.4" customHeight="1" x14ac:dyDescent="0.25">
      <c r="B26" s="420"/>
      <c r="C26" s="420"/>
      <c r="D26" s="420"/>
      <c r="E26" s="421"/>
      <c r="F26" s="420"/>
      <c r="G26" s="420"/>
      <c r="H26" s="420"/>
      <c r="I26" s="420"/>
      <c r="J26" s="420"/>
      <c r="K26" s="420"/>
      <c r="L26" s="420"/>
      <c r="M26" s="420"/>
    </row>
    <row r="27" spans="2:13" ht="13.2" customHeight="1" x14ac:dyDescent="0.25">
      <c r="B27" s="674" t="s">
        <v>479</v>
      </c>
      <c r="C27" s="674"/>
      <c r="D27" s="651" t="s">
        <v>15</v>
      </c>
      <c r="E27" s="652"/>
      <c r="F27" s="652"/>
      <c r="G27" s="653"/>
      <c r="H27" s="651" t="s">
        <v>17</v>
      </c>
      <c r="I27" s="652"/>
      <c r="J27" s="652"/>
      <c r="K27" s="653"/>
      <c r="L27" s="674" t="s">
        <v>449</v>
      </c>
      <c r="M27" s="674"/>
    </row>
    <row r="28" spans="2:13" x14ac:dyDescent="0.25">
      <c r="B28" s="674"/>
      <c r="C28" s="674"/>
      <c r="D28" s="654"/>
      <c r="E28" s="655"/>
      <c r="F28" s="655"/>
      <c r="G28" s="656"/>
      <c r="H28" s="654"/>
      <c r="I28" s="655"/>
      <c r="J28" s="655"/>
      <c r="K28" s="656"/>
      <c r="L28" s="674"/>
      <c r="M28" s="674"/>
    </row>
    <row r="29" spans="2:13" x14ac:dyDescent="0.25">
      <c r="B29" s="675" t="str">
        <f>Datos!U5</f>
        <v>mL</v>
      </c>
      <c r="C29" s="675"/>
      <c r="D29" s="668" t="s">
        <v>13</v>
      </c>
      <c r="E29" s="669"/>
      <c r="F29" s="669"/>
      <c r="G29" s="670"/>
      <c r="H29" s="668" t="s">
        <v>13</v>
      </c>
      <c r="I29" s="669"/>
      <c r="J29" s="669"/>
      <c r="K29" s="670"/>
      <c r="L29" s="675" t="str">
        <f>Datos!U5</f>
        <v>mL</v>
      </c>
      <c r="M29" s="675"/>
    </row>
    <row r="30" spans="2:13" x14ac:dyDescent="0.25">
      <c r="B30" s="671">
        <f>Datos!E23</f>
        <v>10</v>
      </c>
      <c r="C30" s="671"/>
      <c r="D30" s="668">
        <f>'punto 1'!G24</f>
        <v>0</v>
      </c>
      <c r="E30" s="669"/>
      <c r="F30" s="669"/>
      <c r="G30" s="670"/>
      <c r="H30" s="668">
        <f>Datos!H27</f>
        <v>-10</v>
      </c>
      <c r="I30" s="669"/>
      <c r="J30" s="669"/>
      <c r="K30" s="670"/>
      <c r="L30" s="657">
        <f>Datos!I27</f>
        <v>0.91498926168697547</v>
      </c>
      <c r="M30" s="658"/>
    </row>
    <row r="31" spans="2:13" x14ac:dyDescent="0.25">
      <c r="B31" s="671">
        <f>Datos!E34</f>
        <v>10000</v>
      </c>
      <c r="C31" s="671"/>
      <c r="D31" s="668">
        <f>'punto 2'!G24</f>
        <v>0</v>
      </c>
      <c r="E31" s="669"/>
      <c r="F31" s="669"/>
      <c r="G31" s="670"/>
      <c r="H31" s="676">
        <f>Datos!H38</f>
        <v>-10000</v>
      </c>
      <c r="I31" s="677"/>
      <c r="J31" s="677"/>
      <c r="K31" s="678"/>
      <c r="L31" s="657">
        <f>Datos!I38</f>
        <v>0.91498926168697547</v>
      </c>
      <c r="M31" s="658"/>
    </row>
    <row r="32" spans="2:13" x14ac:dyDescent="0.25">
      <c r="B32" s="671">
        <f>Datos!E44</f>
        <v>2000</v>
      </c>
      <c r="C32" s="671"/>
      <c r="D32" s="668">
        <f>'punto 3'!G24</f>
        <v>0</v>
      </c>
      <c r="E32" s="669"/>
      <c r="F32" s="669"/>
      <c r="G32" s="670"/>
      <c r="H32" s="668">
        <f>Datos!H48</f>
        <v>-2000</v>
      </c>
      <c r="I32" s="669"/>
      <c r="J32" s="669"/>
      <c r="K32" s="670"/>
      <c r="L32" s="657">
        <f>Datos!I48</f>
        <v>0.91498926168697547</v>
      </c>
      <c r="M32" s="658"/>
    </row>
    <row r="33" spans="2:27" x14ac:dyDescent="0.25">
      <c r="B33" s="671">
        <f>Datos!E55</f>
        <v>10</v>
      </c>
      <c r="C33" s="671"/>
      <c r="D33" s="668">
        <f>'punto 4'!G24</f>
        <v>0</v>
      </c>
      <c r="E33" s="669"/>
      <c r="F33" s="669"/>
      <c r="G33" s="670"/>
      <c r="H33" s="668">
        <f>Datos!H59</f>
        <v>-10</v>
      </c>
      <c r="I33" s="669"/>
      <c r="J33" s="669"/>
      <c r="K33" s="670"/>
      <c r="L33" s="657">
        <f>Datos!I59</f>
        <v>0.91498926168697547</v>
      </c>
      <c r="M33" s="658"/>
    </row>
    <row r="34" spans="2:27" x14ac:dyDescent="0.25">
      <c r="B34" s="671">
        <f>Datos!E66</f>
        <v>10</v>
      </c>
      <c r="C34" s="671"/>
      <c r="D34" s="668">
        <f>'punto 5'!G24</f>
        <v>0</v>
      </c>
      <c r="E34" s="669"/>
      <c r="F34" s="669"/>
      <c r="G34" s="670"/>
      <c r="H34" s="668">
        <f>Datos!H70</f>
        <v>-10</v>
      </c>
      <c r="I34" s="669"/>
      <c r="J34" s="669"/>
      <c r="K34" s="670"/>
      <c r="L34" s="657">
        <f>Datos!I70</f>
        <v>0.91498926168697547</v>
      </c>
      <c r="M34" s="658"/>
    </row>
    <row r="36" spans="2:27" x14ac:dyDescent="0.25">
      <c r="B36" s="421" t="s">
        <v>450</v>
      </c>
      <c r="C36" s="420"/>
      <c r="D36" s="420"/>
      <c r="E36" s="420"/>
      <c r="F36" s="420"/>
      <c r="G36" s="420"/>
      <c r="H36" s="422" t="s">
        <v>451</v>
      </c>
      <c r="I36" s="420"/>
      <c r="J36" s="420"/>
      <c r="K36" s="420"/>
      <c r="L36" s="420"/>
      <c r="M36" s="420"/>
    </row>
    <row r="37" spans="2:27" x14ac:dyDescent="0.25">
      <c r="B37" s="450" t="s">
        <v>452</v>
      </c>
      <c r="C37" s="420"/>
      <c r="D37" s="426">
        <f>'punto 1'!M3</f>
        <v>-8.7300380228136881E-2</v>
      </c>
      <c r="E37" s="448" t="s">
        <v>453</v>
      </c>
      <c r="F37" s="426" t="str">
        <f>FIXED(CertTempIncerti,1)</f>
        <v>0.4</v>
      </c>
      <c r="G37" s="420" t="s">
        <v>454</v>
      </c>
      <c r="H37" s="450" t="s">
        <v>455</v>
      </c>
      <c r="I37" s="428" t="s">
        <v>456</v>
      </c>
      <c r="J37" s="429">
        <f>'punto 1'!M5</f>
        <v>0</v>
      </c>
      <c r="K37" s="448" t="s">
        <v>453</v>
      </c>
      <c r="L37" s="429">
        <f>CertPresIncert</f>
        <v>10</v>
      </c>
      <c r="M37" s="420" t="s">
        <v>480</v>
      </c>
    </row>
    <row r="38" spans="2:27" ht="14.4" customHeight="1" x14ac:dyDescent="0.25">
      <c r="B38" s="450" t="s">
        <v>457</v>
      </c>
      <c r="C38" s="448" t="s">
        <v>456</v>
      </c>
      <c r="D38" s="426">
        <f>'punto 1'!M4</f>
        <v>0.54767441860465138</v>
      </c>
      <c r="E38" s="448" t="s">
        <v>453</v>
      </c>
      <c r="F38" s="426" t="str">
        <f>FIXED(CertHRIncerti,1)</f>
        <v>1.3</v>
      </c>
      <c r="G38" s="420" t="s">
        <v>458</v>
      </c>
      <c r="N38" s="430"/>
      <c r="O38" s="430"/>
      <c r="P38" s="430"/>
      <c r="Q38" s="430"/>
      <c r="R38" s="430"/>
      <c r="S38" s="430"/>
      <c r="T38" s="430"/>
      <c r="U38" s="430"/>
      <c r="V38" s="430"/>
      <c r="W38" s="430"/>
      <c r="X38" s="430"/>
      <c r="Y38" s="430"/>
      <c r="Z38" s="430"/>
      <c r="AA38" s="430"/>
    </row>
    <row r="39" spans="2:27" x14ac:dyDescent="0.25"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  <c r="AA39" s="430"/>
    </row>
    <row r="40" spans="2:27" ht="14.4" customHeight="1" x14ac:dyDescent="0.25">
      <c r="B40" s="431" t="s">
        <v>459</v>
      </c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  <c r="AA40" s="430"/>
    </row>
    <row r="41" spans="2:27" x14ac:dyDescent="0.25">
      <c r="B41" s="641" t="s">
        <v>481</v>
      </c>
      <c r="C41" s="641"/>
      <c r="D41" s="641"/>
      <c r="E41" s="641"/>
      <c r="F41" s="641"/>
      <c r="G41" s="641"/>
      <c r="H41" s="641"/>
      <c r="I41" s="641"/>
      <c r="J41" s="641"/>
      <c r="K41" s="641"/>
      <c r="L41" s="641"/>
      <c r="M41" s="641"/>
      <c r="N41" s="430"/>
      <c r="O41" s="430"/>
      <c r="P41" s="430"/>
      <c r="Q41" s="430"/>
      <c r="R41" s="430"/>
      <c r="S41" s="430"/>
      <c r="T41" s="430"/>
      <c r="U41" s="430"/>
      <c r="V41" s="430"/>
      <c r="W41" s="430"/>
      <c r="X41" s="430"/>
      <c r="Y41" s="430"/>
      <c r="Z41" s="430"/>
      <c r="AA41" s="430"/>
    </row>
    <row r="42" spans="2:27" x14ac:dyDescent="0.25">
      <c r="B42" s="641"/>
      <c r="C42" s="641"/>
      <c r="D42" s="641"/>
      <c r="E42" s="641"/>
      <c r="F42" s="641"/>
      <c r="G42" s="641"/>
      <c r="H42" s="641"/>
      <c r="I42" s="641"/>
      <c r="J42" s="641"/>
      <c r="K42" s="641"/>
      <c r="L42" s="641"/>
      <c r="M42" s="641"/>
      <c r="N42" s="430"/>
      <c r="O42" s="430"/>
      <c r="P42" s="430"/>
      <c r="Q42" s="430"/>
      <c r="R42" s="430"/>
      <c r="S42" s="430"/>
      <c r="T42" s="430"/>
      <c r="U42" s="430"/>
      <c r="V42" s="430"/>
      <c r="W42" s="430"/>
      <c r="X42" s="430"/>
      <c r="Y42" s="430"/>
      <c r="Z42" s="430"/>
      <c r="AA42" s="430"/>
    </row>
    <row r="43" spans="2:27" x14ac:dyDescent="0.25">
      <c r="B43" s="641"/>
      <c r="C43" s="641"/>
      <c r="D43" s="641"/>
      <c r="E43" s="641"/>
      <c r="F43" s="641"/>
      <c r="G43" s="641"/>
      <c r="H43" s="641"/>
      <c r="I43" s="641"/>
      <c r="J43" s="641"/>
      <c r="K43" s="641"/>
      <c r="L43" s="641"/>
      <c r="M43" s="641"/>
      <c r="N43" s="430"/>
      <c r="O43" s="430"/>
      <c r="P43" s="430"/>
      <c r="Q43" s="430"/>
      <c r="R43" s="430"/>
      <c r="S43" s="430"/>
      <c r="T43" s="430"/>
      <c r="U43" s="430"/>
      <c r="V43" s="430"/>
      <c r="W43" s="430"/>
      <c r="X43" s="430"/>
      <c r="Y43" s="430"/>
      <c r="Z43" s="430"/>
      <c r="AA43" s="430"/>
    </row>
    <row r="44" spans="2:27" x14ac:dyDescent="0.25"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</row>
    <row r="45" spans="2:27" x14ac:dyDescent="0.25">
      <c r="B45" s="431" t="s">
        <v>460</v>
      </c>
      <c r="C45" s="430"/>
      <c r="D45" s="430"/>
      <c r="E45" s="430"/>
      <c r="F45" s="430"/>
      <c r="G45" s="430"/>
      <c r="H45" s="430"/>
      <c r="I45" s="430"/>
      <c r="J45" s="430"/>
      <c r="K45" s="430"/>
      <c r="L45" s="430"/>
      <c r="M45" s="430"/>
    </row>
    <row r="46" spans="2:27" x14ac:dyDescent="0.25">
      <c r="B46" s="641" t="s">
        <v>461</v>
      </c>
      <c r="C46" s="641"/>
      <c r="D46" s="641"/>
      <c r="E46" s="641"/>
      <c r="F46" s="641"/>
      <c r="G46" s="641"/>
      <c r="H46" s="641"/>
      <c r="I46" s="641"/>
      <c r="J46" s="641"/>
      <c r="K46" s="641"/>
      <c r="L46" s="641"/>
      <c r="M46" s="641"/>
    </row>
    <row r="47" spans="2:27" x14ac:dyDescent="0.25">
      <c r="B47" s="641"/>
      <c r="C47" s="641"/>
      <c r="D47" s="641"/>
      <c r="E47" s="641"/>
      <c r="F47" s="641"/>
      <c r="G47" s="641"/>
      <c r="H47" s="641"/>
      <c r="I47" s="641"/>
      <c r="J47" s="641"/>
      <c r="K47" s="641"/>
      <c r="L47" s="641"/>
      <c r="M47" s="641"/>
    </row>
    <row r="48" spans="2:27" x14ac:dyDescent="0.25">
      <c r="B48" s="641"/>
      <c r="C48" s="641"/>
      <c r="D48" s="641"/>
      <c r="E48" s="641"/>
      <c r="F48" s="641"/>
      <c r="G48" s="641"/>
      <c r="H48" s="641"/>
      <c r="I48" s="641"/>
      <c r="J48" s="641"/>
      <c r="K48" s="641"/>
      <c r="L48" s="641"/>
      <c r="M48" s="641"/>
    </row>
    <row r="49" spans="2:13" x14ac:dyDescent="0.25">
      <c r="B49" s="641"/>
      <c r="C49" s="641"/>
      <c r="D49" s="641"/>
      <c r="E49" s="641"/>
      <c r="F49" s="641"/>
      <c r="G49" s="641"/>
      <c r="H49" s="641"/>
      <c r="I49" s="641"/>
      <c r="J49" s="641"/>
      <c r="K49" s="641"/>
      <c r="L49" s="641"/>
      <c r="M49" s="641"/>
    </row>
    <row r="50" spans="2:13" x14ac:dyDescent="0.25"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</row>
    <row r="52" spans="2:13" x14ac:dyDescent="0.25">
      <c r="B52" s="431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</row>
    <row r="53" spans="2:13" x14ac:dyDescent="0.25">
      <c r="B53" s="431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</row>
    <row r="54" spans="2:13" x14ac:dyDescent="0.25">
      <c r="B54" s="431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</row>
    <row r="55" spans="2:13" x14ac:dyDescent="0.25">
      <c r="B55" s="431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</row>
    <row r="56" spans="2:13" x14ac:dyDescent="0.25">
      <c r="B56" s="431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</row>
    <row r="57" spans="2:13" x14ac:dyDescent="0.25">
      <c r="B57" s="431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</row>
    <row r="58" spans="2:13" x14ac:dyDescent="0.25">
      <c r="B58" s="431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</row>
    <row r="59" spans="2:13" x14ac:dyDescent="0.25">
      <c r="B59" s="431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</row>
    <row r="60" spans="2:13" x14ac:dyDescent="0.25">
      <c r="B60" s="431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</row>
    <row r="61" spans="2:13" x14ac:dyDescent="0.25">
      <c r="B61" s="431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0"/>
    </row>
    <row r="62" spans="2:13" x14ac:dyDescent="0.25">
      <c r="B62" s="431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</row>
    <row r="63" spans="2:13" x14ac:dyDescent="0.25">
      <c r="B63" s="431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</row>
    <row r="64" spans="2:13" x14ac:dyDescent="0.25">
      <c r="B64" s="431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</row>
    <row r="65" spans="2:13" x14ac:dyDescent="0.25">
      <c r="B65" s="431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</row>
    <row r="66" spans="2:13" x14ac:dyDescent="0.25">
      <c r="B66" s="431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</row>
    <row r="67" spans="2:13" x14ac:dyDescent="0.25">
      <c r="B67" s="431" t="s">
        <v>437</v>
      </c>
      <c r="C67" s="420"/>
      <c r="D67" s="420"/>
      <c r="E67" s="420"/>
      <c r="F67" s="420"/>
      <c r="G67" s="420"/>
      <c r="H67" s="447" t="str">
        <f>H8</f>
        <v>NI-MC-V-XXX-2020</v>
      </c>
      <c r="I67" s="420"/>
      <c r="J67" s="420"/>
      <c r="K67" s="420"/>
      <c r="L67" s="420"/>
      <c r="M67" s="420"/>
    </row>
    <row r="68" spans="2:13" x14ac:dyDescent="0.25">
      <c r="B68" s="431"/>
      <c r="C68" s="420"/>
      <c r="D68" s="420"/>
      <c r="E68" s="420"/>
      <c r="F68" s="420"/>
      <c r="G68" s="420"/>
      <c r="H68" s="431"/>
      <c r="I68" s="420"/>
      <c r="J68" s="420"/>
      <c r="K68" s="420"/>
      <c r="L68" s="420"/>
      <c r="M68" s="420"/>
    </row>
    <row r="69" spans="2:13" x14ac:dyDescent="0.25">
      <c r="B69" s="431"/>
      <c r="C69" s="420"/>
      <c r="D69" s="420"/>
      <c r="E69" s="420"/>
      <c r="F69" s="420"/>
      <c r="G69" s="420"/>
      <c r="H69" s="431"/>
      <c r="I69" s="420"/>
      <c r="J69" s="420"/>
      <c r="K69" s="420"/>
      <c r="L69" s="420"/>
      <c r="M69" s="420"/>
    </row>
    <row r="70" spans="2:13" x14ac:dyDescent="0.25">
      <c r="B70" s="431" t="s">
        <v>462</v>
      </c>
      <c r="C70" s="420"/>
      <c r="D70" s="420"/>
      <c r="E70" s="420"/>
      <c r="F70" s="420"/>
      <c r="G70" s="420"/>
      <c r="H70" s="420"/>
      <c r="I70" s="420"/>
      <c r="J70" s="420"/>
      <c r="K70" s="420"/>
      <c r="L70" s="420"/>
      <c r="M70" s="420"/>
    </row>
    <row r="71" spans="2:13" x14ac:dyDescent="0.25">
      <c r="B71" s="431"/>
      <c r="C71" s="420"/>
      <c r="D71" s="420"/>
      <c r="E71" s="420"/>
      <c r="F71" s="420"/>
      <c r="G71" s="420"/>
      <c r="H71" s="420"/>
      <c r="I71" s="420"/>
      <c r="J71" s="420"/>
      <c r="K71" s="420"/>
      <c r="L71" s="420"/>
      <c r="M71" s="420"/>
    </row>
    <row r="72" spans="2:13" x14ac:dyDescent="0.25">
      <c r="B72" s="663" t="str">
        <f>[2]Calibración!CP4</f>
        <v>Descripción</v>
      </c>
      <c r="C72" s="663"/>
      <c r="D72" s="645" t="str">
        <f>[2]Calibración!CR4</f>
        <v>Marca</v>
      </c>
      <c r="E72" s="646"/>
      <c r="F72" s="645" t="s">
        <v>483</v>
      </c>
      <c r="G72" s="646"/>
      <c r="H72" s="663" t="str">
        <f>[2]Calibración!CT4</f>
        <v>Trazabilidad</v>
      </c>
      <c r="I72" s="663"/>
      <c r="J72" s="663"/>
      <c r="K72" s="663"/>
      <c r="L72" s="664" t="str">
        <f>[2]Calibración!CU4</f>
        <v>Próx. Calibr.</v>
      </c>
      <c r="M72" s="664"/>
    </row>
    <row r="73" spans="2:13" ht="13.2" customHeight="1" x14ac:dyDescent="0.25">
      <c r="B73" s="665" t="s">
        <v>482</v>
      </c>
      <c r="C73" s="665"/>
      <c r="D73" s="661" t="s">
        <v>484</v>
      </c>
      <c r="E73" s="662"/>
      <c r="F73" s="661" t="s">
        <v>485</v>
      </c>
      <c r="G73" s="662"/>
      <c r="H73" s="666" t="s">
        <v>486</v>
      </c>
      <c r="I73" s="666"/>
      <c r="J73" s="666"/>
      <c r="K73" s="666"/>
      <c r="L73" s="667">
        <v>44332</v>
      </c>
      <c r="M73" s="667"/>
    </row>
    <row r="74" spans="2:13" hidden="1" x14ac:dyDescent="0.25">
      <c r="B74" s="644" t="str">
        <f>[2]Calibración!CP11</f>
        <v/>
      </c>
      <c r="C74" s="644"/>
      <c r="D74" s="451" t="str">
        <f>[2]Calibración!CR11</f>
        <v/>
      </c>
      <c r="E74" s="647" t="str">
        <f>[2]Calibración!CS11</f>
        <v/>
      </c>
      <c r="F74" s="647"/>
      <c r="G74" s="647"/>
      <c r="H74" s="647" t="str">
        <f>[2]Calibración!CT11</f>
        <v/>
      </c>
      <c r="I74" s="647"/>
      <c r="J74" s="647"/>
      <c r="K74" s="647"/>
      <c r="L74" s="648" t="str">
        <f>[2]Calibración!CU11</f>
        <v/>
      </c>
      <c r="M74" s="648"/>
    </row>
    <row r="75" spans="2:13" hidden="1" x14ac:dyDescent="0.25">
      <c r="B75" s="644" t="str">
        <f>[2]Calibración!CP12</f>
        <v/>
      </c>
      <c r="C75" s="644"/>
      <c r="D75" s="451" t="str">
        <f>[2]Calibración!CR12</f>
        <v/>
      </c>
      <c r="E75" s="647" t="str">
        <f>[2]Calibración!CS12</f>
        <v/>
      </c>
      <c r="F75" s="647"/>
      <c r="G75" s="647"/>
      <c r="H75" s="647" t="str">
        <f>[2]Calibración!CT12</f>
        <v/>
      </c>
      <c r="I75" s="647"/>
      <c r="J75" s="647"/>
      <c r="K75" s="647"/>
      <c r="L75" s="648" t="str">
        <f>[2]Calibración!CU12</f>
        <v/>
      </c>
      <c r="M75" s="648"/>
    </row>
    <row r="76" spans="2:13" hidden="1" x14ac:dyDescent="0.25">
      <c r="B76" s="644" t="str">
        <f>[2]Calibración!CP13</f>
        <v/>
      </c>
      <c r="C76" s="644"/>
      <c r="D76" s="451" t="str">
        <f>[2]Calibración!CR13</f>
        <v/>
      </c>
      <c r="E76" s="647" t="str">
        <f>[2]Calibración!CS13</f>
        <v/>
      </c>
      <c r="F76" s="647"/>
      <c r="G76" s="647"/>
      <c r="H76" s="647" t="str">
        <f>[2]Calibración!CT13</f>
        <v/>
      </c>
      <c r="I76" s="647"/>
      <c r="J76" s="647"/>
      <c r="K76" s="647"/>
      <c r="L76" s="648" t="str">
        <f>[2]Calibración!CU13</f>
        <v/>
      </c>
      <c r="M76" s="648"/>
    </row>
    <row r="77" spans="2:13" hidden="1" x14ac:dyDescent="0.25">
      <c r="B77" s="644" t="str">
        <f>[2]Calibración!CP14</f>
        <v/>
      </c>
      <c r="C77" s="644"/>
      <c r="D77" s="451" t="str">
        <f>[2]Calibración!CR14</f>
        <v/>
      </c>
      <c r="E77" s="647" t="str">
        <f>[2]Calibración!CS14</f>
        <v/>
      </c>
      <c r="F77" s="647"/>
      <c r="G77" s="647"/>
      <c r="H77" s="647" t="str">
        <f>[2]Calibración!CT14</f>
        <v/>
      </c>
      <c r="I77" s="647"/>
      <c r="J77" s="647"/>
      <c r="K77" s="647"/>
      <c r="L77" s="648" t="str">
        <f>[2]Calibración!CU14</f>
        <v/>
      </c>
      <c r="M77" s="648"/>
    </row>
    <row r="78" spans="2:13" hidden="1" x14ac:dyDescent="0.25">
      <c r="B78" s="644" t="str">
        <f>[2]Calibración!CP15</f>
        <v/>
      </c>
      <c r="C78" s="644"/>
      <c r="D78" s="451" t="str">
        <f>[2]Calibración!CR15</f>
        <v/>
      </c>
      <c r="E78" s="647" t="str">
        <f>[2]Calibración!CS15</f>
        <v/>
      </c>
      <c r="F78" s="647"/>
      <c r="G78" s="647"/>
      <c r="H78" s="647" t="str">
        <f>[2]Calibración!CT15</f>
        <v/>
      </c>
      <c r="I78" s="647"/>
      <c r="J78" s="647"/>
      <c r="K78" s="647"/>
      <c r="L78" s="648" t="str">
        <f>[2]Calibración!CU15</f>
        <v/>
      </c>
      <c r="M78" s="648"/>
    </row>
    <row r="79" spans="2:13" hidden="1" x14ac:dyDescent="0.25">
      <c r="B79" s="644" t="str">
        <f>[2]Calibración!CP16</f>
        <v/>
      </c>
      <c r="C79" s="644"/>
      <c r="D79" s="451" t="str">
        <f>[2]Calibración!CR16</f>
        <v/>
      </c>
      <c r="E79" s="647" t="str">
        <f>[2]Calibración!CS16</f>
        <v/>
      </c>
      <c r="F79" s="647"/>
      <c r="G79" s="647"/>
      <c r="H79" s="647" t="str">
        <f>[2]Calibración!CT16</f>
        <v/>
      </c>
      <c r="I79" s="647"/>
      <c r="J79" s="647"/>
      <c r="K79" s="647"/>
      <c r="L79" s="648" t="str">
        <f>[2]Calibración!CU16</f>
        <v/>
      </c>
      <c r="M79" s="648"/>
    </row>
    <row r="80" spans="2:13" hidden="1" x14ac:dyDescent="0.25">
      <c r="B80" s="644" t="str">
        <f>[2]Calibración!CP17</f>
        <v/>
      </c>
      <c r="C80" s="644"/>
      <c r="D80" s="451" t="str">
        <f>[2]Calibración!CR17</f>
        <v/>
      </c>
      <c r="E80" s="647" t="str">
        <f>[2]Calibración!CS17</f>
        <v/>
      </c>
      <c r="F80" s="647"/>
      <c r="G80" s="647"/>
      <c r="H80" s="647" t="str">
        <f>[2]Calibración!CT17</f>
        <v/>
      </c>
      <c r="I80" s="647"/>
      <c r="J80" s="647"/>
      <c r="K80" s="647"/>
      <c r="L80" s="648" t="str">
        <f>[2]Calibración!CU17</f>
        <v/>
      </c>
      <c r="M80" s="648"/>
    </row>
    <row r="81" spans="2:20" hidden="1" x14ac:dyDescent="0.25">
      <c r="B81" s="644" t="str">
        <f>[2]Calibración!CP18</f>
        <v/>
      </c>
      <c r="C81" s="644"/>
      <c r="D81" s="451" t="str">
        <f>[2]Calibración!CR18</f>
        <v/>
      </c>
      <c r="E81" s="647" t="str">
        <f>[2]Calibración!CS18</f>
        <v/>
      </c>
      <c r="F81" s="647"/>
      <c r="G81" s="647"/>
      <c r="H81" s="647" t="str">
        <f>[2]Calibración!CT18</f>
        <v/>
      </c>
      <c r="I81" s="647"/>
      <c r="J81" s="647"/>
      <c r="K81" s="647"/>
      <c r="L81" s="648" t="str">
        <f>[2]Calibración!CU18</f>
        <v/>
      </c>
      <c r="M81" s="648"/>
    </row>
    <row r="82" spans="2:20" hidden="1" x14ac:dyDescent="0.25">
      <c r="B82" s="644" t="str">
        <f>[2]Calibración!CP19</f>
        <v/>
      </c>
      <c r="C82" s="644"/>
      <c r="D82" s="451" t="str">
        <f>[2]Calibración!CR19</f>
        <v/>
      </c>
      <c r="E82" s="647" t="str">
        <f>[2]Calibración!CS19</f>
        <v/>
      </c>
      <c r="F82" s="647"/>
      <c r="G82" s="647"/>
      <c r="H82" s="647" t="str">
        <f>[2]Calibración!CT19</f>
        <v/>
      </c>
      <c r="I82" s="647"/>
      <c r="J82" s="647"/>
      <c r="K82" s="647"/>
      <c r="L82" s="648" t="str">
        <f>[2]Calibración!CU19</f>
        <v/>
      </c>
      <c r="M82" s="648"/>
    </row>
    <row r="83" spans="2:20" hidden="1" x14ac:dyDescent="0.25">
      <c r="B83" s="644" t="str">
        <f>[2]Calibración!CP20</f>
        <v/>
      </c>
      <c r="C83" s="644"/>
      <c r="D83" s="451" t="str">
        <f>[2]Calibración!CR20</f>
        <v/>
      </c>
      <c r="E83" s="647" t="str">
        <f>[2]Calibración!CS20</f>
        <v/>
      </c>
      <c r="F83" s="647"/>
      <c r="G83" s="647"/>
      <c r="H83" s="647" t="str">
        <f>[2]Calibración!CT20</f>
        <v/>
      </c>
      <c r="I83" s="647"/>
      <c r="J83" s="647"/>
      <c r="K83" s="647"/>
      <c r="L83" s="648" t="str">
        <f>[2]Calibración!CU20</f>
        <v/>
      </c>
      <c r="M83" s="648"/>
    </row>
    <row r="84" spans="2:20" hidden="1" x14ac:dyDescent="0.25">
      <c r="B84" s="644" t="str">
        <f>[2]Calibración!CP21</f>
        <v/>
      </c>
      <c r="C84" s="644"/>
      <c r="D84" s="451" t="str">
        <f>[2]Calibración!CR21</f>
        <v/>
      </c>
      <c r="E84" s="647" t="str">
        <f>[2]Calibración!CS21</f>
        <v/>
      </c>
      <c r="F84" s="647"/>
      <c r="G84" s="647"/>
      <c r="H84" s="647" t="str">
        <f>[2]Calibración!CT21</f>
        <v/>
      </c>
      <c r="I84" s="647"/>
      <c r="J84" s="647"/>
      <c r="K84" s="647"/>
      <c r="L84" s="648" t="str">
        <f>[2]Calibración!CU21</f>
        <v/>
      </c>
      <c r="M84" s="648"/>
    </row>
    <row r="85" spans="2:20" hidden="1" x14ac:dyDescent="0.25">
      <c r="B85" s="644" t="str">
        <f>[2]Calibración!CP22</f>
        <v/>
      </c>
      <c r="C85" s="644"/>
      <c r="D85" s="451" t="str">
        <f>[2]Calibración!CR22</f>
        <v/>
      </c>
      <c r="E85" s="647" t="str">
        <f>[2]Calibración!CS22</f>
        <v/>
      </c>
      <c r="F85" s="647"/>
      <c r="G85" s="647"/>
      <c r="H85" s="647" t="str">
        <f>[2]Calibración!CT22</f>
        <v/>
      </c>
      <c r="I85" s="647"/>
      <c r="J85" s="647"/>
      <c r="K85" s="647"/>
      <c r="L85" s="648" t="str">
        <f>[2]Calibración!CU22</f>
        <v/>
      </c>
      <c r="M85" s="648"/>
    </row>
    <row r="86" spans="2:20" hidden="1" x14ac:dyDescent="0.25">
      <c r="B86" s="644" t="str">
        <f>[2]Calibración!CP23</f>
        <v/>
      </c>
      <c r="C86" s="644"/>
      <c r="D86" s="451" t="str">
        <f>[2]Calibración!CR23</f>
        <v/>
      </c>
      <c r="E86" s="647" t="str">
        <f>[2]Calibración!CS23</f>
        <v/>
      </c>
      <c r="F86" s="647"/>
      <c r="G86" s="647"/>
      <c r="H86" s="647" t="str">
        <f>[2]Calibración!CT23</f>
        <v/>
      </c>
      <c r="I86" s="647"/>
      <c r="J86" s="647"/>
      <c r="K86" s="647"/>
      <c r="L86" s="648" t="str">
        <f>[2]Calibración!CU23</f>
        <v/>
      </c>
      <c r="M86" s="648"/>
    </row>
    <row r="87" spans="2:20" hidden="1" x14ac:dyDescent="0.25">
      <c r="B87" s="644" t="str">
        <f>[2]Calibración!CP24</f>
        <v/>
      </c>
      <c r="C87" s="644"/>
      <c r="D87" s="451" t="str">
        <f>[2]Calibración!CR24</f>
        <v/>
      </c>
      <c r="E87" s="647" t="str">
        <f>[2]Calibración!CS24</f>
        <v/>
      </c>
      <c r="F87" s="647"/>
      <c r="G87" s="647"/>
      <c r="H87" s="647" t="str">
        <f>[2]Calibración!CT24</f>
        <v/>
      </c>
      <c r="I87" s="647"/>
      <c r="J87" s="647"/>
      <c r="K87" s="647"/>
      <c r="L87" s="648" t="str">
        <f>[2]Calibración!CU24</f>
        <v/>
      </c>
      <c r="M87" s="648"/>
    </row>
    <row r="88" spans="2:20" hidden="1" x14ac:dyDescent="0.25">
      <c r="B88" s="644" t="str">
        <f>[2]Calibración!CP25</f>
        <v/>
      </c>
      <c r="C88" s="644"/>
      <c r="D88" s="451" t="str">
        <f>[2]Calibración!CR25</f>
        <v/>
      </c>
      <c r="E88" s="647" t="str">
        <f>[2]Calibración!CS25</f>
        <v/>
      </c>
      <c r="F88" s="647"/>
      <c r="G88" s="647"/>
      <c r="H88" s="647" t="str">
        <f>[2]Calibración!CT25</f>
        <v/>
      </c>
      <c r="I88" s="647"/>
      <c r="J88" s="647"/>
      <c r="K88" s="647"/>
      <c r="L88" s="648" t="str">
        <f>[2]Calibración!CU25</f>
        <v/>
      </c>
      <c r="M88" s="648"/>
    </row>
    <row r="89" spans="2:20" x14ac:dyDescent="0.25"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</row>
    <row r="90" spans="2:20" x14ac:dyDescent="0.25">
      <c r="B90" s="431" t="s">
        <v>463</v>
      </c>
    </row>
    <row r="91" spans="2:20" x14ac:dyDescent="0.25">
      <c r="B91" s="659" t="s">
        <v>464</v>
      </c>
      <c r="C91" s="659"/>
      <c r="D91" s="659"/>
      <c r="E91" s="659"/>
      <c r="F91" s="659"/>
      <c r="G91" s="659"/>
      <c r="H91" s="659"/>
      <c r="I91" s="659"/>
      <c r="J91" s="659"/>
      <c r="K91" s="659"/>
      <c r="L91" s="659"/>
      <c r="M91" s="659"/>
    </row>
    <row r="92" spans="2:20" x14ac:dyDescent="0.25">
      <c r="B92" s="659" t="s">
        <v>465</v>
      </c>
      <c r="C92" s="659"/>
      <c r="D92" s="659"/>
      <c r="E92" s="659"/>
      <c r="F92" s="659"/>
      <c r="G92" s="659"/>
      <c r="H92" s="659"/>
      <c r="I92" s="659"/>
      <c r="J92" s="659"/>
      <c r="K92" s="659"/>
      <c r="L92" s="659"/>
      <c r="M92" s="659"/>
    </row>
    <row r="93" spans="2:20" ht="24.75" customHeight="1" x14ac:dyDescent="0.25">
      <c r="B93" s="660" t="s">
        <v>487</v>
      </c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</row>
    <row r="94" spans="2:20" ht="24" customHeight="1" x14ac:dyDescent="0.25">
      <c r="B94" s="660" t="s">
        <v>488</v>
      </c>
      <c r="C94" s="660"/>
      <c r="D94" s="660"/>
      <c r="E94" s="660"/>
      <c r="F94" s="660"/>
      <c r="G94" s="660"/>
      <c r="H94" s="660"/>
      <c r="I94" s="660"/>
      <c r="J94" s="660"/>
      <c r="K94" s="660"/>
      <c r="L94" s="660"/>
      <c r="M94" s="660"/>
      <c r="S94" s="430"/>
      <c r="T94" s="430"/>
    </row>
    <row r="102" spans="2:19" x14ac:dyDescent="0.25">
      <c r="F102" s="642"/>
      <c r="G102" s="642"/>
      <c r="H102" s="642"/>
      <c r="I102" s="642"/>
    </row>
    <row r="103" spans="2:19" x14ac:dyDescent="0.25">
      <c r="F103" s="643" t="s">
        <v>466</v>
      </c>
      <c r="G103" s="643"/>
      <c r="H103" s="643"/>
      <c r="I103" s="643"/>
    </row>
    <row r="104" spans="2:19" x14ac:dyDescent="0.25">
      <c r="F104" s="643" t="s">
        <v>467</v>
      </c>
      <c r="G104" s="643"/>
      <c r="H104" s="643"/>
      <c r="I104" s="643"/>
      <c r="R104" s="448"/>
      <c r="S104" s="448"/>
    </row>
    <row r="105" spans="2:19" x14ac:dyDescent="0.25">
      <c r="F105" s="640" t="s">
        <v>468</v>
      </c>
      <c r="G105" s="640"/>
      <c r="H105" s="640"/>
      <c r="I105" s="640"/>
      <c r="R105" s="449"/>
      <c r="S105" s="449"/>
    </row>
    <row r="106" spans="2:19" x14ac:dyDescent="0.25">
      <c r="B106" s="420"/>
      <c r="C106" s="420"/>
      <c r="D106" s="420"/>
      <c r="K106" s="420"/>
      <c r="L106" s="420"/>
      <c r="M106" s="420"/>
    </row>
    <row r="107" spans="2:19" x14ac:dyDescent="0.25">
      <c r="B107" s="420"/>
      <c r="C107" s="420"/>
      <c r="D107" s="420"/>
      <c r="K107" s="420"/>
      <c r="L107" s="420"/>
      <c r="M107" s="420"/>
    </row>
    <row r="108" spans="2:19" x14ac:dyDescent="0.25">
      <c r="E108" s="640" t="s">
        <v>469</v>
      </c>
      <c r="F108" s="640"/>
      <c r="G108" s="640"/>
      <c r="H108" s="640"/>
      <c r="I108" s="640"/>
      <c r="J108" s="640"/>
    </row>
  </sheetData>
  <mergeCells count="117">
    <mergeCell ref="H10:I10"/>
    <mergeCell ref="H12:I12"/>
    <mergeCell ref="H13:I13"/>
    <mergeCell ref="H14:J14"/>
    <mergeCell ref="H15:J15"/>
    <mergeCell ref="H21:L21"/>
    <mergeCell ref="H11:I11"/>
    <mergeCell ref="B25:M25"/>
    <mergeCell ref="B27:C28"/>
    <mergeCell ref="D27:G28"/>
    <mergeCell ref="H27:K28"/>
    <mergeCell ref="L27:M28"/>
    <mergeCell ref="B29:C29"/>
    <mergeCell ref="D29:G29"/>
    <mergeCell ref="H29:K29"/>
    <mergeCell ref="L29:M29"/>
    <mergeCell ref="B30:C30"/>
    <mergeCell ref="D30:G30"/>
    <mergeCell ref="H30:K30"/>
    <mergeCell ref="L30:M30"/>
    <mergeCell ref="B31:C31"/>
    <mergeCell ref="D31:G31"/>
    <mergeCell ref="H31:K31"/>
    <mergeCell ref="L31:M31"/>
    <mergeCell ref="B32:C32"/>
    <mergeCell ref="D32:G32"/>
    <mergeCell ref="H32:K32"/>
    <mergeCell ref="L32:M32"/>
    <mergeCell ref="B33:C33"/>
    <mergeCell ref="D33:G33"/>
    <mergeCell ref="H33:K33"/>
    <mergeCell ref="L33:M33"/>
    <mergeCell ref="B34:C34"/>
    <mergeCell ref="D34:G34"/>
    <mergeCell ref="H34:K34"/>
    <mergeCell ref="L34:M34"/>
    <mergeCell ref="B41:M43"/>
    <mergeCell ref="B46:M50"/>
    <mergeCell ref="B72:C72"/>
    <mergeCell ref="D72:E72"/>
    <mergeCell ref="F72:G72"/>
    <mergeCell ref="H72:K72"/>
    <mergeCell ref="L72:M72"/>
    <mergeCell ref="B73:C73"/>
    <mergeCell ref="D73:E73"/>
    <mergeCell ref="F73:G73"/>
    <mergeCell ref="H73:K73"/>
    <mergeCell ref="L73:M73"/>
    <mergeCell ref="B74:C74"/>
    <mergeCell ref="E74:G74"/>
    <mergeCell ref="H74:K74"/>
    <mergeCell ref="L74:M74"/>
    <mergeCell ref="B75:C75"/>
    <mergeCell ref="E75:G75"/>
    <mergeCell ref="H75:K75"/>
    <mergeCell ref="L75:M75"/>
    <mergeCell ref="B76:C76"/>
    <mergeCell ref="E76:G76"/>
    <mergeCell ref="H76:K76"/>
    <mergeCell ref="L76:M76"/>
    <mergeCell ref="B77:C77"/>
    <mergeCell ref="E77:G77"/>
    <mergeCell ref="H77:K77"/>
    <mergeCell ref="L77:M77"/>
    <mergeCell ref="B78:C78"/>
    <mergeCell ref="E78:G78"/>
    <mergeCell ref="H78:K78"/>
    <mergeCell ref="L78:M78"/>
    <mergeCell ref="B79:C79"/>
    <mergeCell ref="E79:G79"/>
    <mergeCell ref="H79:K79"/>
    <mergeCell ref="L79:M79"/>
    <mergeCell ref="B80:C80"/>
    <mergeCell ref="E80:G80"/>
    <mergeCell ref="H80:K80"/>
    <mergeCell ref="L80:M80"/>
    <mergeCell ref="B81:C81"/>
    <mergeCell ref="E81:G81"/>
    <mergeCell ref="H81:K81"/>
    <mergeCell ref="L81:M81"/>
    <mergeCell ref="B82:C82"/>
    <mergeCell ref="E82:G82"/>
    <mergeCell ref="H82:K82"/>
    <mergeCell ref="L82:M82"/>
    <mergeCell ref="B83:C83"/>
    <mergeCell ref="E83:G83"/>
    <mergeCell ref="H83:K83"/>
    <mergeCell ref="L83:M83"/>
    <mergeCell ref="B84:C84"/>
    <mergeCell ref="E84:G84"/>
    <mergeCell ref="H84:K84"/>
    <mergeCell ref="L84:M84"/>
    <mergeCell ref="B85:C85"/>
    <mergeCell ref="E85:G85"/>
    <mergeCell ref="H85:K85"/>
    <mergeCell ref="L85:M85"/>
    <mergeCell ref="B86:C86"/>
    <mergeCell ref="E86:G86"/>
    <mergeCell ref="H86:K86"/>
    <mergeCell ref="L86:M86"/>
    <mergeCell ref="B87:C87"/>
    <mergeCell ref="E87:G87"/>
    <mergeCell ref="H87:K87"/>
    <mergeCell ref="L87:M87"/>
    <mergeCell ref="B88:C88"/>
    <mergeCell ref="E88:G88"/>
    <mergeCell ref="H88:K88"/>
    <mergeCell ref="L88:M88"/>
    <mergeCell ref="B91:M91"/>
    <mergeCell ref="B92:M92"/>
    <mergeCell ref="E108:J108"/>
    <mergeCell ref="B93:M93"/>
    <mergeCell ref="B94:M94"/>
    <mergeCell ref="F102:I102"/>
    <mergeCell ref="F103:I103"/>
    <mergeCell ref="F104:I104"/>
    <mergeCell ref="F105:I105"/>
  </mergeCells>
  <pageMargins left="0.7" right="0.7" top="0.75" bottom="0.75" header="0.3" footer="0.3"/>
  <pageSetup paperSize="9" orientation="portrait" r:id="rId1"/>
  <headerFooter>
    <oddHeader>&amp;C
&amp;G</oddHeader>
    <oddFooter>&amp;C&amp;G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A687-6A7C-4292-9E64-4222A4C71505}">
  <dimension ref="A2:H386"/>
  <sheetViews>
    <sheetView topLeftCell="A363" workbookViewId="0">
      <selection activeCell="B219" sqref="B219"/>
    </sheetView>
  </sheetViews>
  <sheetFormatPr baseColWidth="10" defaultColWidth="9.109375" defaultRowHeight="13.2" x14ac:dyDescent="0.25"/>
  <cols>
    <col min="1" max="1" width="6" customWidth="1"/>
    <col min="2" max="2" width="63.33203125" bestFit="1" customWidth="1"/>
    <col min="3" max="3" width="85.5546875" bestFit="1" customWidth="1"/>
  </cols>
  <sheetData>
    <row r="2" spans="1:8" ht="13.8" x14ac:dyDescent="0.3">
      <c r="A2" s="679" t="s">
        <v>250</v>
      </c>
      <c r="B2" s="679"/>
      <c r="C2" s="679"/>
    </row>
    <row r="3" spans="1:8" ht="13.8" x14ac:dyDescent="0.3">
      <c r="A3" s="463"/>
      <c r="B3" s="680" t="s">
        <v>251</v>
      </c>
      <c r="C3" s="680"/>
    </row>
    <row r="4" spans="1:8" ht="13.8" x14ac:dyDescent="0.3">
      <c r="A4" s="464" t="s">
        <v>252</v>
      </c>
      <c r="B4" s="465" t="s">
        <v>502</v>
      </c>
      <c r="C4" s="465" t="s">
        <v>503</v>
      </c>
    </row>
    <row r="5" spans="1:8" x14ac:dyDescent="0.25">
      <c r="A5" s="466">
        <v>1</v>
      </c>
      <c r="B5" s="467" t="s">
        <v>504</v>
      </c>
      <c r="C5" s="467" t="s">
        <v>253</v>
      </c>
      <c r="D5" s="419"/>
      <c r="E5" s="419"/>
      <c r="F5" s="419"/>
      <c r="G5" s="419"/>
      <c r="H5" s="419"/>
    </row>
    <row r="6" spans="1:8" x14ac:dyDescent="0.25">
      <c r="A6" s="466">
        <v>2</v>
      </c>
      <c r="B6" s="468" t="s">
        <v>505</v>
      </c>
      <c r="C6" s="467" t="s">
        <v>506</v>
      </c>
      <c r="D6" s="419"/>
      <c r="E6" s="419"/>
      <c r="F6" s="419"/>
      <c r="G6" s="419"/>
      <c r="H6" s="419"/>
    </row>
    <row r="7" spans="1:8" x14ac:dyDescent="0.25">
      <c r="A7" s="466">
        <v>3</v>
      </c>
      <c r="B7" s="467" t="s">
        <v>265</v>
      </c>
      <c r="C7" s="467" t="s">
        <v>266</v>
      </c>
      <c r="D7" s="419"/>
      <c r="E7" s="419"/>
      <c r="F7" s="419"/>
      <c r="G7" s="419"/>
      <c r="H7" s="419"/>
    </row>
    <row r="8" spans="1:8" x14ac:dyDescent="0.25">
      <c r="A8" s="466">
        <v>4</v>
      </c>
      <c r="B8" s="467" t="s">
        <v>507</v>
      </c>
      <c r="C8" s="467" t="s">
        <v>508</v>
      </c>
      <c r="D8" s="419"/>
      <c r="E8" s="419"/>
      <c r="F8" s="419"/>
      <c r="G8" s="419"/>
      <c r="H8" s="419"/>
    </row>
    <row r="9" spans="1:8" x14ac:dyDescent="0.25">
      <c r="A9" s="466">
        <v>5</v>
      </c>
      <c r="B9" s="467" t="s">
        <v>254</v>
      </c>
      <c r="C9" s="467" t="s">
        <v>255</v>
      </c>
      <c r="D9" s="419"/>
      <c r="E9" s="419"/>
      <c r="F9" s="419"/>
      <c r="G9" s="419"/>
      <c r="H9" s="419"/>
    </row>
    <row r="10" spans="1:8" x14ac:dyDescent="0.25">
      <c r="A10" s="466">
        <v>6</v>
      </c>
      <c r="B10" s="420" t="s">
        <v>509</v>
      </c>
      <c r="C10" s="420" t="s">
        <v>510</v>
      </c>
      <c r="D10" s="419"/>
      <c r="E10" s="419"/>
      <c r="F10" s="419"/>
      <c r="G10" s="419"/>
      <c r="H10" s="419"/>
    </row>
    <row r="11" spans="1:8" x14ac:dyDescent="0.25">
      <c r="A11" s="466">
        <v>7</v>
      </c>
      <c r="B11" s="467" t="s">
        <v>511</v>
      </c>
      <c r="C11" s="467" t="s">
        <v>512</v>
      </c>
      <c r="D11" s="419"/>
      <c r="E11" s="419"/>
      <c r="F11" s="419"/>
      <c r="G11" s="419"/>
      <c r="H11" s="419"/>
    </row>
    <row r="12" spans="1:8" x14ac:dyDescent="0.25">
      <c r="A12" s="466">
        <v>8</v>
      </c>
      <c r="B12" s="467" t="s">
        <v>268</v>
      </c>
      <c r="C12" s="467" t="s">
        <v>269</v>
      </c>
      <c r="D12" s="419"/>
      <c r="E12" s="419"/>
      <c r="F12" s="419"/>
      <c r="G12" s="419"/>
      <c r="H12" s="419"/>
    </row>
    <row r="13" spans="1:8" x14ac:dyDescent="0.25">
      <c r="A13" s="466">
        <v>9</v>
      </c>
      <c r="B13" s="467" t="s">
        <v>256</v>
      </c>
      <c r="C13" s="467" t="s">
        <v>257</v>
      </c>
      <c r="D13" s="419"/>
      <c r="E13" s="419"/>
      <c r="F13" s="419"/>
      <c r="G13" s="419"/>
      <c r="H13" s="419"/>
    </row>
    <row r="14" spans="1:8" x14ac:dyDescent="0.25">
      <c r="A14" s="466">
        <v>10</v>
      </c>
      <c r="B14" s="467" t="s">
        <v>261</v>
      </c>
      <c r="C14" s="467" t="s">
        <v>262</v>
      </c>
      <c r="D14" s="419"/>
      <c r="E14" s="419"/>
      <c r="F14" s="419"/>
      <c r="G14" s="419"/>
      <c r="H14" s="419"/>
    </row>
    <row r="15" spans="1:8" x14ac:dyDescent="0.25">
      <c r="A15" s="466">
        <v>11</v>
      </c>
      <c r="B15" s="419" t="s">
        <v>513</v>
      </c>
      <c r="C15" s="420" t="s">
        <v>514</v>
      </c>
      <c r="D15" s="419"/>
      <c r="E15" s="419"/>
      <c r="F15" s="419"/>
      <c r="G15" s="419"/>
      <c r="H15" s="419"/>
    </row>
    <row r="16" spans="1:8" x14ac:dyDescent="0.25">
      <c r="A16" s="466">
        <v>12</v>
      </c>
      <c r="B16" s="467" t="s">
        <v>515</v>
      </c>
      <c r="C16" s="467" t="s">
        <v>516</v>
      </c>
      <c r="D16" s="419"/>
      <c r="E16" s="419"/>
      <c r="F16" s="419"/>
      <c r="G16" s="419"/>
      <c r="H16" s="419"/>
    </row>
    <row r="17" spans="1:8" x14ac:dyDescent="0.25">
      <c r="A17" s="466">
        <v>13</v>
      </c>
      <c r="B17" s="467" t="s">
        <v>259</v>
      </c>
      <c r="C17" s="467" t="s">
        <v>260</v>
      </c>
      <c r="D17" s="419"/>
      <c r="E17" s="419"/>
      <c r="F17" s="419"/>
      <c r="G17" s="419"/>
      <c r="H17" s="419"/>
    </row>
    <row r="18" spans="1:8" x14ac:dyDescent="0.25">
      <c r="A18" s="466">
        <v>14</v>
      </c>
      <c r="B18" s="467" t="s">
        <v>517</v>
      </c>
      <c r="C18" s="467" t="s">
        <v>328</v>
      </c>
      <c r="D18" s="419"/>
      <c r="E18" s="419"/>
      <c r="F18" s="419"/>
      <c r="G18" s="419"/>
      <c r="H18" s="419"/>
    </row>
    <row r="19" spans="1:8" x14ac:dyDescent="0.25">
      <c r="A19" s="466">
        <v>15</v>
      </c>
      <c r="B19" s="467" t="s">
        <v>518</v>
      </c>
      <c r="C19" s="467" t="s">
        <v>519</v>
      </c>
      <c r="D19" s="419"/>
      <c r="E19" s="419"/>
      <c r="F19" s="419"/>
      <c r="G19" s="419"/>
      <c r="H19" s="419"/>
    </row>
    <row r="20" spans="1:8" x14ac:dyDescent="0.25">
      <c r="A20" s="466">
        <v>16</v>
      </c>
      <c r="B20" s="467" t="s">
        <v>520</v>
      </c>
      <c r="C20" s="467" t="s">
        <v>270</v>
      </c>
      <c r="D20" s="419"/>
      <c r="E20" s="419"/>
      <c r="F20" s="419"/>
      <c r="G20" s="419"/>
      <c r="H20" s="419"/>
    </row>
    <row r="21" spans="1:8" ht="26.4" x14ac:dyDescent="0.25">
      <c r="A21" s="466">
        <v>17</v>
      </c>
      <c r="B21" s="467" t="s">
        <v>521</v>
      </c>
      <c r="C21" s="467" t="s">
        <v>522</v>
      </c>
      <c r="D21" s="419"/>
      <c r="E21" s="419"/>
      <c r="F21" s="419"/>
      <c r="G21" s="419"/>
      <c r="H21" s="419"/>
    </row>
    <row r="22" spans="1:8" x14ac:dyDescent="0.25">
      <c r="A22" s="466">
        <v>18</v>
      </c>
      <c r="B22" s="467" t="s">
        <v>523</v>
      </c>
      <c r="C22" s="467" t="s">
        <v>524</v>
      </c>
      <c r="D22" s="419"/>
      <c r="E22" s="419"/>
      <c r="F22" s="419"/>
      <c r="G22" s="419"/>
      <c r="H22" s="419"/>
    </row>
    <row r="23" spans="1:8" x14ac:dyDescent="0.25">
      <c r="A23" s="466">
        <v>19</v>
      </c>
      <c r="B23" s="467" t="s">
        <v>525</v>
      </c>
      <c r="C23" s="467" t="s">
        <v>526</v>
      </c>
      <c r="D23" s="419"/>
      <c r="E23" s="419"/>
      <c r="F23" s="419"/>
      <c r="G23" s="419"/>
      <c r="H23" s="419"/>
    </row>
    <row r="24" spans="1:8" x14ac:dyDescent="0.25">
      <c r="A24" s="466">
        <v>20</v>
      </c>
      <c r="B24" s="467" t="s">
        <v>527</v>
      </c>
      <c r="C24" s="467" t="s">
        <v>528</v>
      </c>
      <c r="D24" s="419"/>
      <c r="E24" s="419"/>
      <c r="F24" s="419"/>
      <c r="G24" s="419"/>
      <c r="H24" s="419"/>
    </row>
    <row r="25" spans="1:8" x14ac:dyDescent="0.25">
      <c r="A25" s="466">
        <v>21</v>
      </c>
      <c r="B25" s="467" t="s">
        <v>529</v>
      </c>
      <c r="C25" s="467" t="s">
        <v>530</v>
      </c>
      <c r="D25" s="419"/>
      <c r="E25" s="419"/>
      <c r="F25" s="419"/>
      <c r="G25" s="419"/>
      <c r="H25" s="419"/>
    </row>
    <row r="26" spans="1:8" x14ac:dyDescent="0.25">
      <c r="A26" s="466">
        <v>22</v>
      </c>
      <c r="B26" s="467" t="s">
        <v>531</v>
      </c>
      <c r="C26" s="467" t="s">
        <v>532</v>
      </c>
      <c r="D26" s="419"/>
      <c r="E26" s="419"/>
      <c r="F26" s="419"/>
      <c r="G26" s="419"/>
      <c r="H26" s="419"/>
    </row>
    <row r="27" spans="1:8" x14ac:dyDescent="0.25">
      <c r="A27" s="466">
        <v>23</v>
      </c>
      <c r="B27" s="467" t="s">
        <v>533</v>
      </c>
      <c r="C27" s="467" t="s">
        <v>534</v>
      </c>
      <c r="D27" s="419"/>
      <c r="E27" s="419"/>
      <c r="F27" s="419"/>
      <c r="G27" s="419"/>
      <c r="H27" s="419"/>
    </row>
    <row r="28" spans="1:8" x14ac:dyDescent="0.25">
      <c r="A28" s="466">
        <v>24</v>
      </c>
      <c r="B28" s="467" t="s">
        <v>535</v>
      </c>
      <c r="C28" s="467" t="s">
        <v>263</v>
      </c>
      <c r="D28" s="419"/>
      <c r="E28" s="419"/>
      <c r="F28" s="419"/>
      <c r="G28" s="419"/>
      <c r="H28" s="419"/>
    </row>
    <row r="29" spans="1:8" x14ac:dyDescent="0.25">
      <c r="A29" s="466">
        <v>25</v>
      </c>
      <c r="B29" s="467" t="s">
        <v>536</v>
      </c>
      <c r="C29" s="467" t="s">
        <v>267</v>
      </c>
      <c r="D29" s="419"/>
      <c r="E29" s="419"/>
      <c r="F29" s="419"/>
      <c r="G29" s="419"/>
      <c r="H29" s="419"/>
    </row>
    <row r="30" spans="1:8" x14ac:dyDescent="0.25">
      <c r="A30" s="466">
        <v>26</v>
      </c>
      <c r="B30" s="467" t="s">
        <v>537</v>
      </c>
      <c r="C30" s="467" t="s">
        <v>436</v>
      </c>
      <c r="D30" s="419"/>
      <c r="E30" s="419"/>
      <c r="F30" s="419"/>
      <c r="G30" s="419"/>
      <c r="H30" s="419"/>
    </row>
    <row r="31" spans="1:8" x14ac:dyDescent="0.25">
      <c r="A31" s="466">
        <v>27</v>
      </c>
      <c r="B31" s="467" t="s">
        <v>538</v>
      </c>
      <c r="C31" s="467" t="s">
        <v>539</v>
      </c>
      <c r="D31" s="419"/>
      <c r="E31" s="419"/>
      <c r="F31" s="419"/>
      <c r="G31" s="419"/>
      <c r="H31" s="419"/>
    </row>
    <row r="32" spans="1:8" x14ac:dyDescent="0.25">
      <c r="A32" s="466">
        <v>28</v>
      </c>
      <c r="B32" s="467" t="s">
        <v>264</v>
      </c>
      <c r="C32" s="468" t="s">
        <v>540</v>
      </c>
      <c r="D32" s="419"/>
      <c r="E32" s="419"/>
      <c r="F32" s="419"/>
      <c r="G32" s="419"/>
      <c r="H32" s="419"/>
    </row>
    <row r="33" spans="1:8" x14ac:dyDescent="0.25">
      <c r="A33" s="466">
        <v>29</v>
      </c>
      <c r="B33" s="467" t="s">
        <v>541</v>
      </c>
      <c r="C33" s="467" t="s">
        <v>271</v>
      </c>
      <c r="D33" s="419"/>
      <c r="E33" s="419"/>
      <c r="F33" s="419"/>
      <c r="G33" s="419"/>
      <c r="H33" s="419"/>
    </row>
    <row r="34" spans="1:8" x14ac:dyDescent="0.25">
      <c r="A34" s="466">
        <v>30</v>
      </c>
      <c r="B34" s="467" t="s">
        <v>542</v>
      </c>
      <c r="C34" s="467" t="s">
        <v>543</v>
      </c>
      <c r="D34" s="419"/>
      <c r="E34" s="419"/>
      <c r="F34" s="419"/>
      <c r="G34" s="419"/>
      <c r="H34" s="419"/>
    </row>
    <row r="35" spans="1:8" x14ac:dyDescent="0.25">
      <c r="A35" s="466">
        <v>31</v>
      </c>
      <c r="B35" s="467" t="s">
        <v>544</v>
      </c>
      <c r="C35" s="467" t="s">
        <v>545</v>
      </c>
      <c r="D35" s="419"/>
      <c r="E35" s="419"/>
      <c r="F35" s="419"/>
      <c r="G35" s="419"/>
      <c r="H35" s="419"/>
    </row>
    <row r="36" spans="1:8" x14ac:dyDescent="0.25">
      <c r="A36" s="466">
        <v>32</v>
      </c>
      <c r="B36" s="467" t="s">
        <v>272</v>
      </c>
      <c r="C36" s="467" t="s">
        <v>273</v>
      </c>
      <c r="D36" s="419"/>
      <c r="E36" s="419"/>
      <c r="F36" s="419"/>
      <c r="G36" s="419"/>
      <c r="H36" s="419"/>
    </row>
    <row r="37" spans="1:8" x14ac:dyDescent="0.25">
      <c r="A37" s="466">
        <v>33</v>
      </c>
      <c r="B37" s="467" t="s">
        <v>546</v>
      </c>
      <c r="C37" s="467" t="s">
        <v>547</v>
      </c>
      <c r="D37" s="419"/>
      <c r="E37" s="419"/>
      <c r="F37" s="419"/>
      <c r="G37" s="419"/>
      <c r="H37" s="419"/>
    </row>
    <row r="38" spans="1:8" x14ac:dyDescent="0.25">
      <c r="A38" s="466">
        <v>34</v>
      </c>
      <c r="B38" s="467" t="s">
        <v>548</v>
      </c>
      <c r="C38" s="467" t="s">
        <v>549</v>
      </c>
      <c r="D38" s="419"/>
      <c r="E38" s="419"/>
      <c r="F38" s="419"/>
      <c r="G38" s="419"/>
      <c r="H38" s="419"/>
    </row>
    <row r="39" spans="1:8" x14ac:dyDescent="0.25">
      <c r="A39" s="466">
        <v>35</v>
      </c>
      <c r="B39" s="419" t="s">
        <v>550</v>
      </c>
      <c r="C39" s="467" t="s">
        <v>551</v>
      </c>
      <c r="D39" s="419"/>
      <c r="E39" s="419"/>
      <c r="F39" s="419"/>
      <c r="G39" s="419"/>
      <c r="H39" s="419"/>
    </row>
    <row r="40" spans="1:8" x14ac:dyDescent="0.25">
      <c r="A40" s="466">
        <v>36</v>
      </c>
      <c r="B40" s="467" t="s">
        <v>274</v>
      </c>
      <c r="C40" s="467" t="s">
        <v>275</v>
      </c>
      <c r="D40" s="419"/>
      <c r="E40" s="419"/>
      <c r="F40" s="419"/>
      <c r="G40" s="419"/>
      <c r="H40" s="419"/>
    </row>
    <row r="41" spans="1:8" x14ac:dyDescent="0.25">
      <c r="A41" s="466">
        <v>37</v>
      </c>
      <c r="B41" s="461" t="s">
        <v>552</v>
      </c>
      <c r="C41" s="467" t="s">
        <v>553</v>
      </c>
      <c r="D41" s="419"/>
      <c r="E41" s="419"/>
      <c r="F41" s="419"/>
      <c r="G41" s="419"/>
      <c r="H41" s="419"/>
    </row>
    <row r="42" spans="1:8" x14ac:dyDescent="0.25">
      <c r="A42" s="466">
        <v>38</v>
      </c>
      <c r="B42" s="467" t="s">
        <v>554</v>
      </c>
      <c r="C42" s="467" t="s">
        <v>555</v>
      </c>
      <c r="D42" s="419"/>
      <c r="E42" s="419"/>
      <c r="F42" s="419"/>
      <c r="G42" s="419"/>
      <c r="H42" s="419"/>
    </row>
    <row r="43" spans="1:8" x14ac:dyDescent="0.25">
      <c r="A43" s="466">
        <v>39</v>
      </c>
      <c r="B43" s="467" t="s">
        <v>556</v>
      </c>
      <c r="C43" s="467" t="s">
        <v>557</v>
      </c>
      <c r="D43" s="419"/>
      <c r="E43" s="419"/>
      <c r="F43" s="419"/>
      <c r="G43" s="419"/>
      <c r="H43" s="419"/>
    </row>
    <row r="44" spans="1:8" x14ac:dyDescent="0.25">
      <c r="A44" s="466">
        <v>40</v>
      </c>
      <c r="B44" s="467" t="s">
        <v>558</v>
      </c>
      <c r="C44" s="467" t="s">
        <v>559</v>
      </c>
      <c r="D44" s="419"/>
      <c r="E44" s="419"/>
      <c r="F44" s="419"/>
      <c r="G44" s="419"/>
      <c r="H44" s="419"/>
    </row>
    <row r="45" spans="1:8" x14ac:dyDescent="0.25">
      <c r="A45" s="466">
        <v>41</v>
      </c>
      <c r="B45" s="467" t="s">
        <v>560</v>
      </c>
      <c r="C45" s="467" t="s">
        <v>279</v>
      </c>
      <c r="D45" s="419"/>
      <c r="E45" s="419"/>
      <c r="F45" s="419"/>
      <c r="G45" s="419"/>
      <c r="H45" s="419"/>
    </row>
    <row r="46" spans="1:8" x14ac:dyDescent="0.25">
      <c r="A46" s="466">
        <v>42</v>
      </c>
      <c r="B46" s="467" t="s">
        <v>561</v>
      </c>
      <c r="C46" s="467" t="s">
        <v>276</v>
      </c>
      <c r="D46" s="419"/>
      <c r="E46" s="419"/>
      <c r="F46" s="419"/>
      <c r="G46" s="419"/>
      <c r="H46" s="419"/>
    </row>
    <row r="47" spans="1:8" x14ac:dyDescent="0.25">
      <c r="A47" s="466">
        <v>43</v>
      </c>
      <c r="B47" s="467" t="s">
        <v>562</v>
      </c>
      <c r="C47" s="467" t="s">
        <v>277</v>
      </c>
      <c r="D47" s="419"/>
      <c r="E47" s="419"/>
      <c r="F47" s="419"/>
      <c r="G47" s="419"/>
      <c r="H47" s="419"/>
    </row>
    <row r="48" spans="1:8" x14ac:dyDescent="0.25">
      <c r="A48" s="466">
        <v>44</v>
      </c>
      <c r="B48" s="467" t="s">
        <v>280</v>
      </c>
      <c r="C48" s="467" t="s">
        <v>281</v>
      </c>
      <c r="D48" s="419"/>
      <c r="E48" s="419"/>
      <c r="F48" s="419"/>
      <c r="G48" s="419"/>
      <c r="H48" s="419"/>
    </row>
    <row r="49" spans="1:8" x14ac:dyDescent="0.25">
      <c r="A49" s="466">
        <v>45</v>
      </c>
      <c r="B49" s="467" t="s">
        <v>563</v>
      </c>
      <c r="C49" s="467" t="s">
        <v>564</v>
      </c>
      <c r="D49" s="419"/>
      <c r="E49" s="419"/>
      <c r="F49" s="419"/>
      <c r="G49" s="419"/>
      <c r="H49" s="419"/>
    </row>
    <row r="50" spans="1:8" x14ac:dyDescent="0.25">
      <c r="A50" s="466">
        <v>46</v>
      </c>
      <c r="B50" s="467" t="s">
        <v>565</v>
      </c>
      <c r="C50" s="467" t="s">
        <v>566</v>
      </c>
      <c r="D50" s="419"/>
      <c r="E50" s="419"/>
      <c r="F50" s="419"/>
      <c r="G50" s="419"/>
      <c r="H50" s="419"/>
    </row>
    <row r="51" spans="1:8" x14ac:dyDescent="0.25">
      <c r="A51" s="466">
        <v>47</v>
      </c>
      <c r="B51" s="467" t="s">
        <v>567</v>
      </c>
      <c r="C51" s="467" t="s">
        <v>568</v>
      </c>
      <c r="D51" s="419"/>
      <c r="E51" s="419"/>
      <c r="F51" s="419"/>
      <c r="G51" s="419"/>
      <c r="H51" s="419"/>
    </row>
    <row r="52" spans="1:8" x14ac:dyDescent="0.25">
      <c r="A52" s="466">
        <v>48</v>
      </c>
      <c r="B52" s="467" t="s">
        <v>569</v>
      </c>
      <c r="C52" s="467" t="s">
        <v>284</v>
      </c>
      <c r="D52" s="419"/>
      <c r="E52" s="419"/>
      <c r="F52" s="419"/>
      <c r="G52" s="419"/>
      <c r="H52" s="419"/>
    </row>
    <row r="53" spans="1:8" x14ac:dyDescent="0.25">
      <c r="A53" s="466">
        <v>49</v>
      </c>
      <c r="B53" s="467" t="s">
        <v>570</v>
      </c>
      <c r="C53" s="467" t="s">
        <v>571</v>
      </c>
      <c r="D53" s="419"/>
      <c r="E53" s="419"/>
      <c r="F53" s="419"/>
      <c r="G53" s="419"/>
      <c r="H53" s="419"/>
    </row>
    <row r="54" spans="1:8" x14ac:dyDescent="0.25">
      <c r="A54" s="466">
        <v>50</v>
      </c>
      <c r="B54" s="467" t="s">
        <v>572</v>
      </c>
      <c r="C54" s="467" t="s">
        <v>573</v>
      </c>
      <c r="D54" s="419"/>
      <c r="E54" s="419"/>
      <c r="F54" s="419"/>
      <c r="G54" s="419"/>
      <c r="H54" s="419"/>
    </row>
    <row r="55" spans="1:8" x14ac:dyDescent="0.25">
      <c r="A55" s="466">
        <v>51</v>
      </c>
      <c r="B55" s="467" t="s">
        <v>574</v>
      </c>
      <c r="C55" s="467" t="s">
        <v>282</v>
      </c>
      <c r="D55" s="419"/>
      <c r="E55" s="419"/>
      <c r="F55" s="419"/>
      <c r="G55" s="419"/>
      <c r="H55" s="419"/>
    </row>
    <row r="56" spans="1:8" x14ac:dyDescent="0.25">
      <c r="A56" s="466">
        <v>52</v>
      </c>
      <c r="B56" s="467" t="s">
        <v>575</v>
      </c>
      <c r="C56" s="467" t="s">
        <v>283</v>
      </c>
      <c r="D56" s="419"/>
      <c r="E56" s="419"/>
      <c r="F56" s="419"/>
      <c r="G56" s="419"/>
      <c r="H56" s="419"/>
    </row>
    <row r="57" spans="1:8" x14ac:dyDescent="0.25">
      <c r="A57" s="466">
        <v>53</v>
      </c>
      <c r="B57" s="467" t="s">
        <v>576</v>
      </c>
      <c r="C57" s="467" t="s">
        <v>287</v>
      </c>
      <c r="D57" s="419"/>
      <c r="E57" s="419"/>
      <c r="F57" s="419"/>
      <c r="G57" s="419"/>
      <c r="H57" s="419"/>
    </row>
    <row r="58" spans="1:8" x14ac:dyDescent="0.25">
      <c r="A58" s="466">
        <v>54</v>
      </c>
      <c r="B58" s="467" t="s">
        <v>577</v>
      </c>
      <c r="C58" s="467" t="s">
        <v>287</v>
      </c>
      <c r="D58" s="419"/>
      <c r="E58" s="419"/>
      <c r="F58" s="419"/>
      <c r="G58" s="419"/>
      <c r="H58" s="419"/>
    </row>
    <row r="59" spans="1:8" x14ac:dyDescent="0.25">
      <c r="A59" s="466">
        <v>55</v>
      </c>
      <c r="B59" s="467" t="s">
        <v>578</v>
      </c>
      <c r="C59" s="467" t="s">
        <v>287</v>
      </c>
      <c r="D59" s="419"/>
      <c r="E59" s="419"/>
      <c r="F59" s="419"/>
      <c r="G59" s="419"/>
      <c r="H59" s="419"/>
    </row>
    <row r="60" spans="1:8" x14ac:dyDescent="0.25">
      <c r="A60" s="466">
        <v>56</v>
      </c>
      <c r="B60" s="467" t="s">
        <v>579</v>
      </c>
      <c r="C60" s="467" t="s">
        <v>580</v>
      </c>
      <c r="D60" s="419"/>
      <c r="E60" s="419"/>
      <c r="F60" s="419"/>
      <c r="G60" s="419"/>
      <c r="H60" s="419"/>
    </row>
    <row r="61" spans="1:8" x14ac:dyDescent="0.25">
      <c r="A61" s="466">
        <v>57</v>
      </c>
      <c r="B61" s="467" t="s">
        <v>581</v>
      </c>
      <c r="C61" s="467" t="s">
        <v>290</v>
      </c>
      <c r="D61" s="419"/>
      <c r="E61" s="419"/>
      <c r="F61" s="419"/>
      <c r="G61" s="419"/>
      <c r="H61" s="419"/>
    </row>
    <row r="62" spans="1:8" x14ac:dyDescent="0.25">
      <c r="A62" s="466">
        <v>58</v>
      </c>
      <c r="B62" s="467" t="s">
        <v>582</v>
      </c>
      <c r="C62" s="467" t="s">
        <v>583</v>
      </c>
      <c r="D62" s="419"/>
      <c r="E62" s="419"/>
      <c r="F62" s="419"/>
      <c r="G62" s="419"/>
      <c r="H62" s="419"/>
    </row>
    <row r="63" spans="1:8" x14ac:dyDescent="0.25">
      <c r="A63" s="466">
        <v>59</v>
      </c>
      <c r="B63" s="467" t="s">
        <v>584</v>
      </c>
      <c r="C63" s="467" t="s">
        <v>289</v>
      </c>
      <c r="D63" s="419"/>
      <c r="E63" s="419"/>
      <c r="F63" s="419"/>
      <c r="G63" s="419"/>
      <c r="H63" s="419"/>
    </row>
    <row r="64" spans="1:8" x14ac:dyDescent="0.25">
      <c r="A64" s="466">
        <v>60</v>
      </c>
      <c r="B64" s="467" t="s">
        <v>585</v>
      </c>
      <c r="C64" s="453" t="s">
        <v>586</v>
      </c>
      <c r="D64" s="419"/>
      <c r="E64" s="419"/>
      <c r="F64" s="419"/>
      <c r="G64" s="419"/>
      <c r="H64" s="419"/>
    </row>
    <row r="65" spans="1:8" x14ac:dyDescent="0.25">
      <c r="A65" s="466">
        <v>61</v>
      </c>
      <c r="B65" s="467" t="s">
        <v>587</v>
      </c>
      <c r="C65" s="453" t="s">
        <v>588</v>
      </c>
      <c r="D65" s="419"/>
      <c r="E65" s="419"/>
      <c r="F65" s="419"/>
      <c r="G65" s="419"/>
      <c r="H65" s="419"/>
    </row>
    <row r="66" spans="1:8" x14ac:dyDescent="0.25">
      <c r="A66" s="466">
        <v>62</v>
      </c>
      <c r="B66" s="469" t="s">
        <v>589</v>
      </c>
      <c r="C66" s="469" t="s">
        <v>288</v>
      </c>
      <c r="D66" s="419"/>
      <c r="E66" s="419"/>
      <c r="F66" s="419"/>
      <c r="G66" s="419"/>
      <c r="H66" s="419"/>
    </row>
    <row r="67" spans="1:8" x14ac:dyDescent="0.25">
      <c r="A67" s="466">
        <v>63</v>
      </c>
      <c r="B67" s="467" t="s">
        <v>590</v>
      </c>
      <c r="C67" s="467" t="s">
        <v>591</v>
      </c>
      <c r="D67" s="419"/>
      <c r="E67" s="419"/>
      <c r="F67" s="419"/>
      <c r="G67" s="419"/>
      <c r="H67" s="419"/>
    </row>
    <row r="68" spans="1:8" x14ac:dyDescent="0.25">
      <c r="A68" s="466">
        <v>64</v>
      </c>
      <c r="B68" s="467" t="s">
        <v>592</v>
      </c>
      <c r="C68" s="467" t="s">
        <v>551</v>
      </c>
      <c r="D68" s="419"/>
      <c r="E68" s="419"/>
      <c r="F68" s="419"/>
      <c r="G68" s="419"/>
      <c r="H68" s="419"/>
    </row>
    <row r="69" spans="1:8" x14ac:dyDescent="0.25">
      <c r="A69" s="466">
        <v>65</v>
      </c>
      <c r="B69" s="467" t="s">
        <v>593</v>
      </c>
      <c r="C69" s="467" t="s">
        <v>291</v>
      </c>
      <c r="D69" s="419"/>
      <c r="E69" s="419"/>
      <c r="F69" s="419"/>
      <c r="G69" s="419"/>
      <c r="H69" s="419"/>
    </row>
    <row r="70" spans="1:8" x14ac:dyDescent="0.25">
      <c r="A70" s="466">
        <v>66</v>
      </c>
      <c r="B70" s="467" t="s">
        <v>594</v>
      </c>
      <c r="C70" s="467" t="s">
        <v>595</v>
      </c>
      <c r="D70" s="419"/>
      <c r="E70" s="419"/>
      <c r="F70" s="419"/>
      <c r="G70" s="419"/>
      <c r="H70" s="419"/>
    </row>
    <row r="71" spans="1:8" x14ac:dyDescent="0.25">
      <c r="A71" s="466">
        <v>67</v>
      </c>
      <c r="B71" s="467" t="s">
        <v>292</v>
      </c>
      <c r="C71" s="467" t="s">
        <v>528</v>
      </c>
      <c r="D71" s="419"/>
      <c r="E71" s="419"/>
      <c r="F71" s="419"/>
      <c r="G71" s="419"/>
      <c r="H71" s="419"/>
    </row>
    <row r="72" spans="1:8" x14ac:dyDescent="0.25">
      <c r="A72" s="466">
        <v>68</v>
      </c>
      <c r="B72" s="467" t="s">
        <v>596</v>
      </c>
      <c r="C72" s="467" t="s">
        <v>597</v>
      </c>
      <c r="D72" s="419"/>
      <c r="E72" s="419"/>
      <c r="F72" s="419"/>
      <c r="G72" s="419"/>
      <c r="H72" s="419"/>
    </row>
    <row r="73" spans="1:8" x14ac:dyDescent="0.25">
      <c r="A73" s="466">
        <v>69</v>
      </c>
      <c r="B73" s="467" t="s">
        <v>598</v>
      </c>
      <c r="C73" s="467" t="s">
        <v>293</v>
      </c>
      <c r="D73" s="419"/>
      <c r="E73" s="419"/>
      <c r="F73" s="419"/>
      <c r="G73" s="419"/>
      <c r="H73" s="419"/>
    </row>
    <row r="74" spans="1:8" x14ac:dyDescent="0.25">
      <c r="A74" s="466">
        <v>70</v>
      </c>
      <c r="B74" s="467" t="s">
        <v>599</v>
      </c>
      <c r="C74" s="467" t="s">
        <v>600</v>
      </c>
      <c r="D74" s="419"/>
      <c r="E74" s="419"/>
      <c r="F74" s="419"/>
      <c r="G74" s="419"/>
      <c r="H74" s="419"/>
    </row>
    <row r="75" spans="1:8" x14ac:dyDescent="0.25">
      <c r="A75" s="466">
        <v>71</v>
      </c>
      <c r="B75" s="467" t="s">
        <v>601</v>
      </c>
      <c r="C75" s="467" t="s">
        <v>602</v>
      </c>
      <c r="D75" s="419"/>
      <c r="E75" s="419"/>
      <c r="F75" s="419"/>
      <c r="G75" s="419"/>
      <c r="H75" s="419"/>
    </row>
    <row r="76" spans="1:8" x14ac:dyDescent="0.25">
      <c r="A76" s="466">
        <v>72</v>
      </c>
      <c r="B76" s="467" t="s">
        <v>603</v>
      </c>
      <c r="C76" s="467" t="s">
        <v>604</v>
      </c>
      <c r="D76" s="419"/>
      <c r="E76" s="419"/>
      <c r="F76" s="419"/>
      <c r="G76" s="419"/>
      <c r="H76" s="419"/>
    </row>
    <row r="77" spans="1:8" x14ac:dyDescent="0.25">
      <c r="A77" s="466">
        <v>73</v>
      </c>
      <c r="B77" s="467" t="s">
        <v>605</v>
      </c>
      <c r="C77" s="467" t="s">
        <v>528</v>
      </c>
      <c r="D77" s="419"/>
      <c r="E77" s="419"/>
      <c r="F77" s="419"/>
      <c r="G77" s="419"/>
      <c r="H77" s="419"/>
    </row>
    <row r="78" spans="1:8" x14ac:dyDescent="0.25">
      <c r="A78" s="466">
        <v>74</v>
      </c>
      <c r="B78" s="467" t="s">
        <v>606</v>
      </c>
      <c r="C78" s="467" t="s">
        <v>607</v>
      </c>
      <c r="D78" s="419"/>
      <c r="E78" s="419"/>
      <c r="F78" s="419"/>
      <c r="G78" s="419"/>
      <c r="H78" s="419"/>
    </row>
    <row r="79" spans="1:8" x14ac:dyDescent="0.25">
      <c r="A79" s="466">
        <v>75</v>
      </c>
      <c r="B79" s="467" t="s">
        <v>608</v>
      </c>
      <c r="C79" s="467" t="s">
        <v>609</v>
      </c>
      <c r="D79" s="419"/>
      <c r="E79" s="419"/>
      <c r="F79" s="419"/>
      <c r="G79" s="419"/>
      <c r="H79" s="419"/>
    </row>
    <row r="80" spans="1:8" x14ac:dyDescent="0.25">
      <c r="A80" s="466">
        <v>76</v>
      </c>
      <c r="B80" s="467" t="s">
        <v>294</v>
      </c>
      <c r="C80" s="467" t="s">
        <v>610</v>
      </c>
      <c r="D80" s="419"/>
      <c r="E80" s="419"/>
      <c r="F80" s="419"/>
      <c r="G80" s="419"/>
      <c r="H80" s="419"/>
    </row>
    <row r="81" spans="1:8" x14ac:dyDescent="0.25">
      <c r="A81" s="466">
        <v>77</v>
      </c>
      <c r="B81" s="467" t="s">
        <v>298</v>
      </c>
      <c r="C81" s="467" t="s">
        <v>611</v>
      </c>
      <c r="D81" s="419"/>
      <c r="E81" s="419"/>
      <c r="F81" s="419"/>
      <c r="G81" s="419"/>
      <c r="H81" s="419"/>
    </row>
    <row r="82" spans="1:8" x14ac:dyDescent="0.25">
      <c r="A82" s="466">
        <v>78</v>
      </c>
      <c r="B82" s="467" t="s">
        <v>612</v>
      </c>
      <c r="C82" s="467" t="s">
        <v>613</v>
      </c>
      <c r="D82" s="419"/>
      <c r="E82" s="419"/>
      <c r="F82" s="419"/>
      <c r="G82" s="419"/>
      <c r="H82" s="419"/>
    </row>
    <row r="83" spans="1:8" x14ac:dyDescent="0.25">
      <c r="A83" s="466">
        <v>79</v>
      </c>
      <c r="B83" s="467" t="s">
        <v>614</v>
      </c>
      <c r="C83" s="467" t="s">
        <v>615</v>
      </c>
      <c r="D83" s="419"/>
      <c r="E83" s="419"/>
      <c r="F83" s="419"/>
      <c r="G83" s="419"/>
      <c r="H83" s="419"/>
    </row>
    <row r="84" spans="1:8" x14ac:dyDescent="0.25">
      <c r="A84" s="466">
        <v>80</v>
      </c>
      <c r="B84" s="467" t="s">
        <v>616</v>
      </c>
      <c r="C84" s="467" t="s">
        <v>617</v>
      </c>
      <c r="D84" s="419"/>
      <c r="E84" s="419"/>
      <c r="F84" s="419"/>
      <c r="G84" s="419"/>
      <c r="H84" s="419"/>
    </row>
    <row r="85" spans="1:8" x14ac:dyDescent="0.25">
      <c r="A85" s="466">
        <v>81</v>
      </c>
      <c r="B85" s="467" t="s">
        <v>618</v>
      </c>
      <c r="C85" s="419" t="s">
        <v>619</v>
      </c>
      <c r="D85" s="419"/>
      <c r="E85" s="419"/>
      <c r="F85" s="419"/>
      <c r="G85" s="419"/>
      <c r="H85" s="419"/>
    </row>
    <row r="86" spans="1:8" x14ac:dyDescent="0.25">
      <c r="A86" s="466">
        <v>82</v>
      </c>
      <c r="B86" s="467" t="s">
        <v>620</v>
      </c>
      <c r="C86" s="467" t="s">
        <v>621</v>
      </c>
      <c r="D86" s="419"/>
      <c r="E86" s="419"/>
      <c r="F86" s="419"/>
      <c r="G86" s="419"/>
      <c r="H86" s="419"/>
    </row>
    <row r="87" spans="1:8" x14ac:dyDescent="0.25">
      <c r="A87" s="466">
        <v>83</v>
      </c>
      <c r="B87" s="467" t="s">
        <v>622</v>
      </c>
      <c r="C87" s="467" t="s">
        <v>296</v>
      </c>
      <c r="D87" s="419"/>
      <c r="E87" s="419"/>
      <c r="F87" s="419"/>
      <c r="G87" s="419"/>
      <c r="H87" s="419"/>
    </row>
    <row r="88" spans="1:8" x14ac:dyDescent="0.25">
      <c r="A88" s="466">
        <v>84</v>
      </c>
      <c r="B88" s="467" t="s">
        <v>623</v>
      </c>
      <c r="C88" s="467" t="s">
        <v>624</v>
      </c>
      <c r="D88" s="419"/>
      <c r="E88" s="419"/>
      <c r="F88" s="419"/>
      <c r="G88" s="419"/>
      <c r="H88" s="419"/>
    </row>
    <row r="89" spans="1:8" x14ac:dyDescent="0.25">
      <c r="A89" s="466">
        <v>85</v>
      </c>
      <c r="B89" s="467" t="s">
        <v>625</v>
      </c>
      <c r="C89" s="467" t="s">
        <v>626</v>
      </c>
      <c r="D89" s="419"/>
      <c r="E89" s="419"/>
      <c r="F89" s="419"/>
      <c r="G89" s="419"/>
      <c r="H89" s="419"/>
    </row>
    <row r="90" spans="1:8" x14ac:dyDescent="0.25">
      <c r="A90" s="466">
        <v>86</v>
      </c>
      <c r="B90" s="467" t="s">
        <v>627</v>
      </c>
      <c r="C90" s="467" t="s">
        <v>297</v>
      </c>
      <c r="D90" s="419"/>
      <c r="E90" s="419"/>
      <c r="F90" s="419"/>
      <c r="G90" s="419"/>
      <c r="H90" s="419"/>
    </row>
    <row r="91" spans="1:8" x14ac:dyDescent="0.25">
      <c r="A91" s="466">
        <v>87</v>
      </c>
      <c r="B91" s="467" t="s">
        <v>300</v>
      </c>
      <c r="C91" s="467" t="s">
        <v>301</v>
      </c>
      <c r="D91" s="419"/>
      <c r="E91" s="419"/>
      <c r="F91" s="419"/>
      <c r="G91" s="419"/>
      <c r="H91" s="419"/>
    </row>
    <row r="92" spans="1:8" x14ac:dyDescent="0.25">
      <c r="A92" s="466">
        <v>88</v>
      </c>
      <c r="B92" s="467" t="s">
        <v>628</v>
      </c>
      <c r="C92" s="467" t="s">
        <v>629</v>
      </c>
      <c r="D92" s="419"/>
      <c r="E92" s="419"/>
      <c r="F92" s="419"/>
      <c r="G92" s="419"/>
      <c r="H92" s="419"/>
    </row>
    <row r="93" spans="1:8" x14ac:dyDescent="0.25">
      <c r="A93" s="466">
        <v>89</v>
      </c>
      <c r="B93" s="467" t="s">
        <v>630</v>
      </c>
      <c r="C93" s="467" t="s">
        <v>295</v>
      </c>
      <c r="D93" s="419"/>
      <c r="E93" s="419"/>
      <c r="F93" s="419"/>
      <c r="G93" s="419"/>
      <c r="H93" s="419"/>
    </row>
    <row r="94" spans="1:8" x14ac:dyDescent="0.25">
      <c r="A94" s="466">
        <v>90</v>
      </c>
      <c r="B94" s="467" t="s">
        <v>631</v>
      </c>
      <c r="C94" s="467" t="s">
        <v>632</v>
      </c>
      <c r="D94" s="419"/>
      <c r="E94" s="419"/>
      <c r="F94" s="419"/>
      <c r="G94" s="419"/>
      <c r="H94" s="419"/>
    </row>
    <row r="95" spans="1:8" x14ac:dyDescent="0.25">
      <c r="A95" s="466">
        <v>91</v>
      </c>
      <c r="B95" s="467" t="s">
        <v>633</v>
      </c>
      <c r="C95" s="467" t="s">
        <v>634</v>
      </c>
      <c r="D95" s="419"/>
      <c r="E95" s="419"/>
      <c r="F95" s="419"/>
      <c r="G95" s="419"/>
      <c r="H95" s="419"/>
    </row>
    <row r="96" spans="1:8" x14ac:dyDescent="0.25">
      <c r="A96" s="466">
        <v>92</v>
      </c>
      <c r="B96" s="467" t="s">
        <v>635</v>
      </c>
      <c r="C96" s="467" t="s">
        <v>636</v>
      </c>
      <c r="D96" s="419"/>
      <c r="E96" s="419"/>
      <c r="F96" s="419"/>
      <c r="G96" s="419"/>
      <c r="H96" s="419"/>
    </row>
    <row r="97" spans="1:8" x14ac:dyDescent="0.25">
      <c r="A97" s="466">
        <v>93</v>
      </c>
      <c r="B97" s="467" t="s">
        <v>637</v>
      </c>
      <c r="C97" s="467" t="s">
        <v>638</v>
      </c>
      <c r="D97" s="419"/>
      <c r="E97" s="419"/>
      <c r="F97" s="419"/>
      <c r="G97" s="419"/>
      <c r="H97" s="419"/>
    </row>
    <row r="98" spans="1:8" x14ac:dyDescent="0.25">
      <c r="A98" s="466">
        <v>94</v>
      </c>
      <c r="B98" s="467" t="s">
        <v>639</v>
      </c>
      <c r="C98" s="467" t="s">
        <v>640</v>
      </c>
      <c r="D98" s="419"/>
      <c r="E98" s="419"/>
      <c r="F98" s="419"/>
      <c r="G98" s="419"/>
      <c r="H98" s="419"/>
    </row>
    <row r="99" spans="1:8" x14ac:dyDescent="0.25">
      <c r="A99" s="466">
        <v>95</v>
      </c>
      <c r="B99" s="467" t="s">
        <v>641</v>
      </c>
      <c r="C99" s="467" t="s">
        <v>642</v>
      </c>
      <c r="D99" s="419"/>
      <c r="E99" s="419"/>
      <c r="F99" s="419"/>
      <c r="G99" s="419"/>
      <c r="H99" s="419"/>
    </row>
    <row r="100" spans="1:8" x14ac:dyDescent="0.25">
      <c r="A100" s="466">
        <v>96</v>
      </c>
      <c r="B100" s="467" t="s">
        <v>643</v>
      </c>
      <c r="C100" s="467" t="s">
        <v>299</v>
      </c>
      <c r="D100" s="419"/>
      <c r="E100" s="419"/>
      <c r="F100" s="419"/>
      <c r="G100" s="419"/>
      <c r="H100" s="419"/>
    </row>
    <row r="101" spans="1:8" x14ac:dyDescent="0.25">
      <c r="A101" s="466">
        <v>97</v>
      </c>
      <c r="B101" s="467" t="s">
        <v>644</v>
      </c>
      <c r="C101" s="467" t="s">
        <v>645</v>
      </c>
      <c r="D101" s="419"/>
      <c r="E101" s="419"/>
      <c r="F101" s="419"/>
      <c r="G101" s="419"/>
      <c r="H101" s="419"/>
    </row>
    <row r="102" spans="1:8" x14ac:dyDescent="0.25">
      <c r="A102" s="466">
        <v>98</v>
      </c>
      <c r="B102" s="467" t="s">
        <v>646</v>
      </c>
      <c r="C102" s="467" t="s">
        <v>647</v>
      </c>
      <c r="D102" s="419"/>
      <c r="E102" s="419"/>
      <c r="F102" s="419"/>
      <c r="G102" s="419"/>
      <c r="H102" s="419"/>
    </row>
    <row r="103" spans="1:8" x14ac:dyDescent="0.25">
      <c r="A103" s="466">
        <v>99</v>
      </c>
      <c r="B103" s="467" t="s">
        <v>648</v>
      </c>
      <c r="C103" s="467" t="s">
        <v>649</v>
      </c>
      <c r="D103" s="419"/>
      <c r="E103" s="419"/>
      <c r="F103" s="419"/>
      <c r="G103" s="419"/>
      <c r="H103" s="419"/>
    </row>
    <row r="104" spans="1:8" x14ac:dyDescent="0.25">
      <c r="A104" s="466">
        <v>100</v>
      </c>
      <c r="B104" s="467" t="s">
        <v>650</v>
      </c>
      <c r="C104" s="467" t="s">
        <v>651</v>
      </c>
      <c r="D104" s="419"/>
      <c r="E104" s="419"/>
      <c r="F104" s="419"/>
      <c r="G104" s="419"/>
      <c r="H104" s="419"/>
    </row>
    <row r="105" spans="1:8" x14ac:dyDescent="0.25">
      <c r="A105" s="466">
        <v>101</v>
      </c>
      <c r="B105" s="467" t="s">
        <v>652</v>
      </c>
      <c r="C105" s="467" t="s">
        <v>303</v>
      </c>
      <c r="D105" s="419"/>
      <c r="E105" s="419"/>
      <c r="F105" s="419"/>
      <c r="G105" s="419"/>
      <c r="H105" s="419"/>
    </row>
    <row r="106" spans="1:8" x14ac:dyDescent="0.25">
      <c r="A106" s="466">
        <v>102</v>
      </c>
      <c r="B106" s="467" t="s">
        <v>653</v>
      </c>
      <c r="C106" s="467" t="s">
        <v>654</v>
      </c>
      <c r="D106" s="419"/>
      <c r="E106" s="419"/>
      <c r="F106" s="419"/>
      <c r="G106" s="419"/>
      <c r="H106" s="419"/>
    </row>
    <row r="107" spans="1:8" x14ac:dyDescent="0.25">
      <c r="A107" s="466">
        <v>103</v>
      </c>
      <c r="B107" s="467" t="s">
        <v>655</v>
      </c>
      <c r="C107" s="467"/>
      <c r="D107" s="419"/>
      <c r="E107" s="419"/>
      <c r="F107" s="419"/>
      <c r="G107" s="419"/>
      <c r="H107" s="419"/>
    </row>
    <row r="108" spans="1:8" x14ac:dyDescent="0.25">
      <c r="A108" s="466">
        <v>104</v>
      </c>
      <c r="B108" s="467" t="s">
        <v>656</v>
      </c>
      <c r="C108" s="467" t="s">
        <v>657</v>
      </c>
      <c r="D108" s="419"/>
      <c r="E108" s="419"/>
      <c r="F108" s="419"/>
      <c r="G108" s="419"/>
      <c r="H108" s="419"/>
    </row>
    <row r="109" spans="1:8" x14ac:dyDescent="0.25">
      <c r="A109" s="466">
        <v>105</v>
      </c>
      <c r="B109" s="467" t="s">
        <v>658</v>
      </c>
      <c r="C109" s="467" t="s">
        <v>659</v>
      </c>
      <c r="D109" s="419"/>
      <c r="E109" s="419"/>
      <c r="F109" s="419"/>
      <c r="G109" s="419"/>
      <c r="H109" s="419"/>
    </row>
    <row r="110" spans="1:8" x14ac:dyDescent="0.25">
      <c r="A110" s="466">
        <v>106</v>
      </c>
      <c r="B110" s="467" t="s">
        <v>660</v>
      </c>
      <c r="C110" s="467" t="s">
        <v>661</v>
      </c>
      <c r="D110" s="419"/>
      <c r="E110" s="419"/>
      <c r="F110" s="419"/>
      <c r="G110" s="419"/>
      <c r="H110" s="419"/>
    </row>
    <row r="111" spans="1:8" x14ac:dyDescent="0.25">
      <c r="A111" s="466">
        <v>107</v>
      </c>
      <c r="B111" s="467" t="s">
        <v>304</v>
      </c>
      <c r="C111" s="467" t="s">
        <v>305</v>
      </c>
      <c r="D111" s="419"/>
      <c r="E111" s="419"/>
      <c r="F111" s="419"/>
      <c r="G111" s="419"/>
      <c r="H111" s="419"/>
    </row>
    <row r="112" spans="1:8" x14ac:dyDescent="0.25">
      <c r="A112" s="466">
        <v>108</v>
      </c>
      <c r="B112" s="467" t="s">
        <v>662</v>
      </c>
      <c r="C112" s="467" t="s">
        <v>663</v>
      </c>
      <c r="D112" s="419"/>
      <c r="E112" s="419"/>
      <c r="F112" s="419"/>
      <c r="G112" s="419"/>
      <c r="H112" s="419"/>
    </row>
    <row r="113" spans="1:8" x14ac:dyDescent="0.25">
      <c r="A113" s="466">
        <v>109</v>
      </c>
      <c r="B113" s="467" t="s">
        <v>664</v>
      </c>
      <c r="C113" s="467" t="s">
        <v>665</v>
      </c>
      <c r="D113" s="419"/>
      <c r="E113" s="419"/>
      <c r="F113" s="419"/>
      <c r="G113" s="419"/>
      <c r="H113" s="419"/>
    </row>
    <row r="114" spans="1:8" x14ac:dyDescent="0.25">
      <c r="A114" s="466">
        <v>110</v>
      </c>
      <c r="B114" s="467" t="s">
        <v>666</v>
      </c>
      <c r="C114" s="467" t="s">
        <v>667</v>
      </c>
      <c r="D114" s="419"/>
      <c r="E114" s="419"/>
      <c r="F114" s="419"/>
      <c r="G114" s="419"/>
      <c r="H114" s="419"/>
    </row>
    <row r="115" spans="1:8" x14ac:dyDescent="0.25">
      <c r="A115" s="466">
        <v>111</v>
      </c>
      <c r="B115" s="467" t="s">
        <v>668</v>
      </c>
      <c r="C115" s="467" t="s">
        <v>669</v>
      </c>
      <c r="D115" s="419"/>
      <c r="E115" s="419"/>
      <c r="F115" s="419"/>
      <c r="G115" s="419"/>
      <c r="H115" s="419"/>
    </row>
    <row r="116" spans="1:8" x14ac:dyDescent="0.25">
      <c r="A116" s="466">
        <v>112</v>
      </c>
      <c r="B116" s="467" t="s">
        <v>670</v>
      </c>
      <c r="C116" s="467" t="s">
        <v>671</v>
      </c>
      <c r="D116" s="419"/>
      <c r="E116" s="419"/>
      <c r="F116" s="419"/>
      <c r="G116" s="419"/>
      <c r="H116" s="419"/>
    </row>
    <row r="117" spans="1:8" x14ac:dyDescent="0.25">
      <c r="A117" s="466">
        <v>113</v>
      </c>
      <c r="B117" s="467" t="s">
        <v>672</v>
      </c>
      <c r="C117" s="467" t="s">
        <v>306</v>
      </c>
      <c r="D117" s="419"/>
      <c r="E117" s="419"/>
      <c r="F117" s="419"/>
      <c r="G117" s="419"/>
      <c r="H117" s="419"/>
    </row>
    <row r="118" spans="1:8" x14ac:dyDescent="0.25">
      <c r="A118" s="466">
        <v>114</v>
      </c>
      <c r="B118" s="467" t="s">
        <v>308</v>
      </c>
      <c r="C118" s="467" t="s">
        <v>309</v>
      </c>
      <c r="D118" s="419"/>
      <c r="E118" s="419"/>
      <c r="F118" s="419"/>
      <c r="G118" s="419"/>
      <c r="H118" s="419"/>
    </row>
    <row r="119" spans="1:8" x14ac:dyDescent="0.25">
      <c r="A119" s="466">
        <v>115</v>
      </c>
      <c r="B119" s="467" t="s">
        <v>673</v>
      </c>
      <c r="C119" s="467" t="s">
        <v>307</v>
      </c>
      <c r="D119" s="419"/>
      <c r="E119" s="419"/>
      <c r="F119" s="419"/>
      <c r="G119" s="419"/>
      <c r="H119" s="419"/>
    </row>
    <row r="120" spans="1:8" x14ac:dyDescent="0.25">
      <c r="A120" s="466">
        <v>116</v>
      </c>
      <c r="B120" s="467" t="s">
        <v>674</v>
      </c>
      <c r="C120" s="467" t="s">
        <v>675</v>
      </c>
      <c r="D120" s="419"/>
      <c r="E120" s="419"/>
      <c r="F120" s="419"/>
      <c r="G120" s="419"/>
      <c r="H120" s="419"/>
    </row>
    <row r="121" spans="1:8" x14ac:dyDescent="0.25">
      <c r="A121" s="466">
        <v>117</v>
      </c>
      <c r="B121" s="467" t="s">
        <v>676</v>
      </c>
      <c r="C121" s="467" t="s">
        <v>312</v>
      </c>
      <c r="D121" s="419"/>
      <c r="E121" s="419"/>
      <c r="F121" s="419"/>
      <c r="G121" s="419"/>
      <c r="H121" s="419"/>
    </row>
    <row r="122" spans="1:8" x14ac:dyDescent="0.25">
      <c r="A122" s="466">
        <v>118</v>
      </c>
      <c r="B122" s="467" t="s">
        <v>677</v>
      </c>
      <c r="C122" s="467" t="s">
        <v>678</v>
      </c>
      <c r="D122" s="419"/>
      <c r="E122" s="419"/>
      <c r="F122" s="419"/>
      <c r="G122" s="419"/>
      <c r="H122" s="419"/>
    </row>
    <row r="123" spans="1:8" x14ac:dyDescent="0.25">
      <c r="A123" s="466">
        <v>119</v>
      </c>
      <c r="B123" s="467" t="s">
        <v>679</v>
      </c>
      <c r="C123" s="467" t="s">
        <v>680</v>
      </c>
      <c r="D123" s="419"/>
      <c r="E123" s="419"/>
      <c r="F123" s="419"/>
      <c r="G123" s="419"/>
      <c r="H123" s="419"/>
    </row>
    <row r="124" spans="1:8" x14ac:dyDescent="0.25">
      <c r="A124" s="466">
        <v>120</v>
      </c>
      <c r="B124" s="467" t="s">
        <v>681</v>
      </c>
      <c r="C124" s="467" t="s">
        <v>682</v>
      </c>
      <c r="D124" s="419"/>
      <c r="E124" s="419"/>
      <c r="F124" s="419"/>
      <c r="G124" s="419"/>
      <c r="H124" s="419"/>
    </row>
    <row r="125" spans="1:8" x14ac:dyDescent="0.25">
      <c r="A125" s="466">
        <v>121</v>
      </c>
      <c r="B125" s="467" t="s">
        <v>313</v>
      </c>
      <c r="C125" s="467" t="s">
        <v>314</v>
      </c>
      <c r="D125" s="419"/>
      <c r="E125" s="419"/>
      <c r="F125" s="419"/>
      <c r="G125" s="419"/>
      <c r="H125" s="419"/>
    </row>
    <row r="126" spans="1:8" x14ac:dyDescent="0.25">
      <c r="A126" s="466">
        <v>122</v>
      </c>
      <c r="B126" s="467" t="s">
        <v>683</v>
      </c>
      <c r="C126" s="470" t="s">
        <v>684</v>
      </c>
      <c r="D126" s="419"/>
      <c r="E126" s="419"/>
      <c r="F126" s="419"/>
      <c r="G126" s="419"/>
      <c r="H126" s="419"/>
    </row>
    <row r="127" spans="1:8" x14ac:dyDescent="0.25">
      <c r="A127" s="466">
        <v>123</v>
      </c>
      <c r="B127" s="467" t="s">
        <v>685</v>
      </c>
      <c r="C127" s="467" t="s">
        <v>686</v>
      </c>
      <c r="D127" s="419"/>
      <c r="E127" s="419"/>
      <c r="F127" s="419"/>
      <c r="G127" s="419"/>
      <c r="H127" s="419"/>
    </row>
    <row r="128" spans="1:8" x14ac:dyDescent="0.25">
      <c r="A128" s="466">
        <v>124</v>
      </c>
      <c r="B128" s="467" t="s">
        <v>687</v>
      </c>
      <c r="C128" s="467" t="s">
        <v>688</v>
      </c>
      <c r="D128" s="419"/>
      <c r="E128" s="419"/>
      <c r="F128" s="419"/>
      <c r="G128" s="419"/>
      <c r="H128" s="419"/>
    </row>
    <row r="129" spans="1:8" x14ac:dyDescent="0.25">
      <c r="A129" s="466">
        <v>125</v>
      </c>
      <c r="B129" s="467" t="s">
        <v>689</v>
      </c>
      <c r="C129" s="467" t="s">
        <v>690</v>
      </c>
      <c r="D129" s="419"/>
      <c r="E129" s="419"/>
      <c r="F129" s="419"/>
      <c r="G129" s="419"/>
      <c r="H129" s="419"/>
    </row>
    <row r="130" spans="1:8" x14ac:dyDescent="0.25">
      <c r="A130" s="466">
        <v>126</v>
      </c>
      <c r="B130" s="467" t="s">
        <v>310</v>
      </c>
      <c r="C130" s="467" t="s">
        <v>691</v>
      </c>
      <c r="D130" s="419"/>
      <c r="E130" s="419"/>
      <c r="F130" s="419"/>
      <c r="G130" s="419"/>
      <c r="H130" s="419"/>
    </row>
    <row r="131" spans="1:8" x14ac:dyDescent="0.25">
      <c r="A131" s="466">
        <v>127</v>
      </c>
      <c r="B131" s="467" t="s">
        <v>692</v>
      </c>
      <c r="C131" s="467" t="s">
        <v>693</v>
      </c>
      <c r="D131" s="419"/>
      <c r="E131" s="419"/>
      <c r="F131" s="419"/>
      <c r="G131" s="419"/>
      <c r="H131" s="419"/>
    </row>
    <row r="132" spans="1:8" x14ac:dyDescent="0.25">
      <c r="A132" s="466">
        <v>128</v>
      </c>
      <c r="B132" s="467" t="s">
        <v>694</v>
      </c>
      <c r="C132" s="467" t="s">
        <v>315</v>
      </c>
      <c r="D132" s="419"/>
      <c r="E132" s="419"/>
      <c r="F132" s="419"/>
      <c r="G132" s="419"/>
      <c r="H132" s="419"/>
    </row>
    <row r="133" spans="1:8" x14ac:dyDescent="0.25">
      <c r="A133" s="466">
        <v>129</v>
      </c>
      <c r="B133" s="467" t="s">
        <v>695</v>
      </c>
      <c r="C133" s="467" t="s">
        <v>696</v>
      </c>
      <c r="D133" s="419"/>
      <c r="E133" s="419"/>
      <c r="F133" s="419"/>
      <c r="G133" s="419"/>
      <c r="H133" s="419"/>
    </row>
    <row r="134" spans="1:8" x14ac:dyDescent="0.25">
      <c r="A134" s="466">
        <v>130</v>
      </c>
      <c r="B134" s="470" t="s">
        <v>697</v>
      </c>
      <c r="C134" s="470" t="s">
        <v>698</v>
      </c>
      <c r="D134" s="419"/>
      <c r="E134" s="419"/>
      <c r="F134" s="419"/>
      <c r="G134" s="419"/>
      <c r="H134" s="419"/>
    </row>
    <row r="135" spans="1:8" x14ac:dyDescent="0.25">
      <c r="A135" s="466">
        <v>131</v>
      </c>
      <c r="B135" s="467" t="s">
        <v>699</v>
      </c>
      <c r="C135" s="467" t="s">
        <v>360</v>
      </c>
      <c r="D135" s="419"/>
      <c r="E135" s="419"/>
      <c r="F135" s="419"/>
      <c r="G135" s="419"/>
      <c r="H135" s="419"/>
    </row>
    <row r="136" spans="1:8" x14ac:dyDescent="0.25">
      <c r="A136" s="466">
        <v>132</v>
      </c>
      <c r="B136" s="467" t="s">
        <v>700</v>
      </c>
      <c r="C136" s="467" t="s">
        <v>316</v>
      </c>
      <c r="D136" s="419"/>
      <c r="E136" s="419"/>
      <c r="F136" s="419"/>
      <c r="G136" s="419"/>
      <c r="H136" s="419"/>
    </row>
    <row r="137" spans="1:8" x14ac:dyDescent="0.25">
      <c r="A137" s="466">
        <v>133</v>
      </c>
      <c r="B137" s="467" t="s">
        <v>701</v>
      </c>
      <c r="C137" s="467" t="s">
        <v>702</v>
      </c>
      <c r="D137" s="419"/>
      <c r="E137" s="419"/>
      <c r="F137" s="419"/>
      <c r="G137" s="419"/>
      <c r="H137" s="419"/>
    </row>
    <row r="138" spans="1:8" x14ac:dyDescent="0.25">
      <c r="A138" s="466">
        <v>134</v>
      </c>
      <c r="B138" s="467" t="s">
        <v>703</v>
      </c>
      <c r="C138" s="467" t="s">
        <v>317</v>
      </c>
      <c r="D138" s="419"/>
      <c r="E138" s="419"/>
      <c r="F138" s="419"/>
      <c r="G138" s="419"/>
      <c r="H138" s="419"/>
    </row>
    <row r="139" spans="1:8" ht="26.4" x14ac:dyDescent="0.25">
      <c r="A139" s="466">
        <v>135</v>
      </c>
      <c r="B139" s="467" t="s">
        <v>704</v>
      </c>
      <c r="C139" s="467" t="s">
        <v>705</v>
      </c>
      <c r="D139" s="419"/>
      <c r="E139" s="419"/>
      <c r="F139" s="419"/>
      <c r="G139" s="419"/>
      <c r="H139" s="419"/>
    </row>
    <row r="140" spans="1:8" x14ac:dyDescent="0.25">
      <c r="A140" s="466">
        <v>136</v>
      </c>
      <c r="B140" s="467" t="s">
        <v>706</v>
      </c>
      <c r="C140" s="467" t="s">
        <v>707</v>
      </c>
      <c r="D140" s="419"/>
      <c r="E140" s="419"/>
      <c r="F140" s="419"/>
      <c r="G140" s="419"/>
      <c r="H140" s="419"/>
    </row>
    <row r="141" spans="1:8" x14ac:dyDescent="0.25">
      <c r="A141" s="466">
        <v>137</v>
      </c>
      <c r="B141" s="467" t="s">
        <v>708</v>
      </c>
      <c r="C141" s="467" t="s">
        <v>709</v>
      </c>
      <c r="D141" s="419"/>
      <c r="E141" s="419"/>
      <c r="F141" s="419"/>
      <c r="G141" s="419"/>
      <c r="H141" s="419"/>
    </row>
    <row r="142" spans="1:8" x14ac:dyDescent="0.25">
      <c r="A142" s="466">
        <v>138</v>
      </c>
      <c r="B142" s="467" t="s">
        <v>710</v>
      </c>
      <c r="C142" s="467" t="s">
        <v>711</v>
      </c>
      <c r="D142" s="419"/>
      <c r="E142" s="419"/>
      <c r="F142" s="419"/>
      <c r="G142" s="419"/>
      <c r="H142" s="419"/>
    </row>
    <row r="143" spans="1:8" x14ac:dyDescent="0.25">
      <c r="A143" s="466">
        <v>139</v>
      </c>
      <c r="B143" s="467" t="s">
        <v>712</v>
      </c>
      <c r="C143" s="467" t="s">
        <v>713</v>
      </c>
      <c r="D143" s="419"/>
      <c r="E143" s="419"/>
      <c r="F143" s="419"/>
      <c r="G143" s="419"/>
      <c r="H143" s="419"/>
    </row>
    <row r="144" spans="1:8" x14ac:dyDescent="0.25">
      <c r="A144" s="466">
        <v>140</v>
      </c>
      <c r="B144" s="467" t="s">
        <v>714</v>
      </c>
      <c r="C144" s="467" t="s">
        <v>715</v>
      </c>
      <c r="D144" s="419"/>
      <c r="E144" s="419"/>
      <c r="F144" s="419"/>
      <c r="G144" s="419"/>
      <c r="H144" s="419"/>
    </row>
    <row r="145" spans="1:8" x14ac:dyDescent="0.25">
      <c r="A145" s="466">
        <v>141</v>
      </c>
      <c r="B145" s="467" t="s">
        <v>716</v>
      </c>
      <c r="C145" s="467" t="s">
        <v>322</v>
      </c>
      <c r="D145" s="419"/>
      <c r="E145" s="419"/>
      <c r="F145" s="419"/>
      <c r="G145" s="419"/>
      <c r="H145" s="419"/>
    </row>
    <row r="146" spans="1:8" x14ac:dyDescent="0.25">
      <c r="A146" s="466">
        <v>142</v>
      </c>
      <c r="B146" s="467" t="s">
        <v>717</v>
      </c>
      <c r="C146" s="467" t="s">
        <v>325</v>
      </c>
      <c r="D146" s="471" t="s">
        <v>718</v>
      </c>
      <c r="E146" s="419"/>
      <c r="F146" s="419"/>
      <c r="G146" s="419"/>
      <c r="H146" s="419"/>
    </row>
    <row r="147" spans="1:8" x14ac:dyDescent="0.25">
      <c r="A147" s="466">
        <v>143</v>
      </c>
      <c r="B147" s="467" t="s">
        <v>719</v>
      </c>
      <c r="C147" s="467" t="s">
        <v>720</v>
      </c>
      <c r="D147" s="419"/>
      <c r="E147" s="419"/>
      <c r="F147" s="419"/>
      <c r="G147" s="419"/>
      <c r="H147" s="419"/>
    </row>
    <row r="148" spans="1:8" x14ac:dyDescent="0.25">
      <c r="A148" s="466">
        <v>144</v>
      </c>
      <c r="B148" s="467" t="s">
        <v>721</v>
      </c>
      <c r="C148" s="467" t="s">
        <v>528</v>
      </c>
      <c r="D148" s="419"/>
      <c r="E148" s="419"/>
      <c r="F148" s="419"/>
      <c r="G148" s="419"/>
      <c r="H148" s="419"/>
    </row>
    <row r="149" spans="1:8" x14ac:dyDescent="0.25">
      <c r="A149" s="466">
        <v>145</v>
      </c>
      <c r="B149" s="467" t="s">
        <v>722</v>
      </c>
      <c r="C149" s="467" t="s">
        <v>319</v>
      </c>
      <c r="D149" s="419"/>
      <c r="E149" s="419"/>
      <c r="F149" s="419"/>
      <c r="G149" s="419"/>
      <c r="H149" s="419"/>
    </row>
    <row r="150" spans="1:8" x14ac:dyDescent="0.25">
      <c r="A150" s="466">
        <v>146</v>
      </c>
      <c r="B150" s="467" t="s">
        <v>723</v>
      </c>
      <c r="C150" s="467" t="s">
        <v>724</v>
      </c>
      <c r="D150" s="419"/>
      <c r="E150" s="419"/>
      <c r="F150" s="419"/>
      <c r="G150" s="419"/>
      <c r="H150" s="419"/>
    </row>
    <row r="151" spans="1:8" x14ac:dyDescent="0.25">
      <c r="A151" s="466">
        <v>147</v>
      </c>
      <c r="B151" s="467" t="s">
        <v>725</v>
      </c>
      <c r="C151" s="467" t="s">
        <v>724</v>
      </c>
      <c r="D151" s="419"/>
      <c r="E151" s="419"/>
      <c r="F151" s="419"/>
      <c r="G151" s="419"/>
      <c r="H151" s="419"/>
    </row>
    <row r="152" spans="1:8" x14ac:dyDescent="0.25">
      <c r="A152" s="466">
        <v>148</v>
      </c>
      <c r="B152" s="467" t="s">
        <v>726</v>
      </c>
      <c r="C152" s="467" t="s">
        <v>321</v>
      </c>
      <c r="D152" s="419"/>
      <c r="E152" s="419"/>
      <c r="F152" s="419"/>
      <c r="G152" s="419"/>
      <c r="H152" s="419"/>
    </row>
    <row r="153" spans="1:8" x14ac:dyDescent="0.25">
      <c r="A153" s="466">
        <v>149</v>
      </c>
      <c r="B153" s="467" t="s">
        <v>727</v>
      </c>
      <c r="C153" s="467" t="s">
        <v>728</v>
      </c>
      <c r="D153" s="419"/>
      <c r="E153" s="419"/>
      <c r="F153" s="419"/>
      <c r="G153" s="419"/>
      <c r="H153" s="419"/>
    </row>
    <row r="154" spans="1:8" x14ac:dyDescent="0.25">
      <c r="A154" s="466">
        <v>150</v>
      </c>
      <c r="B154" s="467" t="s">
        <v>729</v>
      </c>
      <c r="C154" s="467" t="s">
        <v>302</v>
      </c>
      <c r="D154" s="419"/>
      <c r="E154" s="419"/>
      <c r="F154" s="419"/>
      <c r="G154" s="419"/>
      <c r="H154" s="419"/>
    </row>
    <row r="155" spans="1:8" x14ac:dyDescent="0.25">
      <c r="A155" s="466">
        <v>151</v>
      </c>
      <c r="B155" s="467" t="s">
        <v>730</v>
      </c>
      <c r="C155" s="467" t="s">
        <v>731</v>
      </c>
      <c r="D155" s="419"/>
      <c r="E155" s="419"/>
      <c r="F155" s="419"/>
      <c r="G155" s="419"/>
      <c r="H155" s="419"/>
    </row>
    <row r="156" spans="1:8" x14ac:dyDescent="0.25">
      <c r="A156" s="466">
        <v>152</v>
      </c>
      <c r="B156" s="467" t="s">
        <v>732</v>
      </c>
      <c r="C156" s="467" t="s">
        <v>733</v>
      </c>
      <c r="D156" s="419"/>
      <c r="E156" s="419"/>
      <c r="F156" s="419"/>
      <c r="G156" s="419"/>
      <c r="H156" s="419"/>
    </row>
    <row r="157" spans="1:8" x14ac:dyDescent="0.25">
      <c r="A157" s="466">
        <v>153</v>
      </c>
      <c r="B157" s="467" t="s">
        <v>734</v>
      </c>
      <c r="C157" s="467" t="s">
        <v>735</v>
      </c>
      <c r="D157" s="419"/>
      <c r="E157" s="419"/>
      <c r="F157" s="419"/>
      <c r="G157" s="419"/>
      <c r="H157" s="419"/>
    </row>
    <row r="158" spans="1:8" x14ac:dyDescent="0.25">
      <c r="A158" s="466">
        <v>154</v>
      </c>
      <c r="B158" s="467" t="s">
        <v>323</v>
      </c>
      <c r="C158" s="467" t="s">
        <v>324</v>
      </c>
      <c r="D158" s="419"/>
      <c r="E158" s="419"/>
      <c r="F158" s="419"/>
      <c r="G158" s="419"/>
      <c r="H158" s="419"/>
    </row>
    <row r="159" spans="1:8" x14ac:dyDescent="0.25">
      <c r="A159" s="466">
        <v>155</v>
      </c>
      <c r="B159" s="467" t="s">
        <v>329</v>
      </c>
      <c r="C159" s="467" t="s">
        <v>320</v>
      </c>
      <c r="D159" s="419"/>
      <c r="E159" s="419"/>
      <c r="F159" s="419"/>
      <c r="G159" s="419"/>
      <c r="H159" s="419"/>
    </row>
    <row r="160" spans="1:8" x14ac:dyDescent="0.25">
      <c r="A160" s="466">
        <v>156</v>
      </c>
      <c r="B160" s="467" t="s">
        <v>736</v>
      </c>
      <c r="C160" s="467" t="s">
        <v>326</v>
      </c>
      <c r="D160" s="419"/>
      <c r="E160" s="419"/>
      <c r="F160" s="419"/>
      <c r="G160" s="419"/>
      <c r="H160" s="419"/>
    </row>
    <row r="161" spans="1:8" x14ac:dyDescent="0.25">
      <c r="A161" s="466">
        <v>157</v>
      </c>
      <c r="B161" s="467" t="s">
        <v>737</v>
      </c>
      <c r="C161" s="467" t="s">
        <v>528</v>
      </c>
      <c r="D161" s="419"/>
      <c r="E161" s="419"/>
      <c r="F161" s="419"/>
      <c r="G161" s="419"/>
      <c r="H161" s="419"/>
    </row>
    <row r="162" spans="1:8" x14ac:dyDescent="0.25">
      <c r="A162" s="466">
        <v>158</v>
      </c>
      <c r="B162" s="467" t="s">
        <v>738</v>
      </c>
      <c r="C162" s="467" t="s">
        <v>739</v>
      </c>
      <c r="D162" s="419"/>
      <c r="E162" s="419"/>
      <c r="F162" s="419"/>
      <c r="G162" s="419"/>
      <c r="H162" s="419"/>
    </row>
    <row r="163" spans="1:8" x14ac:dyDescent="0.25">
      <c r="A163" s="466">
        <v>159</v>
      </c>
      <c r="B163" s="467" t="s">
        <v>740</v>
      </c>
      <c r="C163" s="467" t="s">
        <v>327</v>
      </c>
      <c r="D163" s="419"/>
      <c r="E163" s="419"/>
      <c r="F163" s="419"/>
      <c r="G163" s="419"/>
      <c r="H163" s="419"/>
    </row>
    <row r="164" spans="1:8" x14ac:dyDescent="0.25">
      <c r="A164" s="466">
        <v>160</v>
      </c>
      <c r="B164" s="467" t="s">
        <v>741</v>
      </c>
      <c r="C164" s="467" t="s">
        <v>742</v>
      </c>
      <c r="D164" s="419"/>
      <c r="E164" s="419"/>
      <c r="F164" s="419"/>
      <c r="G164" s="419"/>
      <c r="H164" s="419"/>
    </row>
    <row r="165" spans="1:8" x14ac:dyDescent="0.25">
      <c r="A165" s="466">
        <v>161</v>
      </c>
      <c r="B165" s="467" t="s">
        <v>743</v>
      </c>
      <c r="C165" s="467" t="s">
        <v>744</v>
      </c>
      <c r="D165" s="419"/>
      <c r="E165" s="419"/>
      <c r="F165" s="419"/>
      <c r="G165" s="419"/>
      <c r="H165" s="419"/>
    </row>
    <row r="166" spans="1:8" x14ac:dyDescent="0.25">
      <c r="A166" s="466">
        <v>162</v>
      </c>
      <c r="B166" s="467" t="s">
        <v>330</v>
      </c>
      <c r="C166" s="467" t="s">
        <v>331</v>
      </c>
      <c r="D166" s="419"/>
      <c r="E166" s="419"/>
      <c r="F166" s="419"/>
      <c r="G166" s="419"/>
      <c r="H166" s="419"/>
    </row>
    <row r="167" spans="1:8" x14ac:dyDescent="0.25">
      <c r="A167" s="466">
        <v>163</v>
      </c>
      <c r="B167" s="472" t="s">
        <v>745</v>
      </c>
      <c r="C167" s="467" t="s">
        <v>332</v>
      </c>
      <c r="D167" s="419"/>
      <c r="E167" s="419"/>
      <c r="F167" s="419"/>
      <c r="G167" s="419"/>
      <c r="H167" s="419"/>
    </row>
    <row r="168" spans="1:8" x14ac:dyDescent="0.25">
      <c r="A168" s="466">
        <v>164</v>
      </c>
      <c r="B168" s="467" t="s">
        <v>746</v>
      </c>
      <c r="C168" s="467" t="s">
        <v>747</v>
      </c>
      <c r="D168" s="419"/>
      <c r="E168" s="419"/>
      <c r="F168" s="419"/>
      <c r="G168" s="419"/>
      <c r="H168" s="419"/>
    </row>
    <row r="169" spans="1:8" x14ac:dyDescent="0.25">
      <c r="A169" s="466">
        <v>165</v>
      </c>
      <c r="B169" s="467" t="s">
        <v>336</v>
      </c>
      <c r="C169" s="467" t="s">
        <v>337</v>
      </c>
      <c r="D169" s="419"/>
      <c r="E169" s="419"/>
      <c r="F169" s="419"/>
      <c r="G169" s="419"/>
      <c r="H169" s="419"/>
    </row>
    <row r="170" spans="1:8" x14ac:dyDescent="0.25">
      <c r="A170" s="466">
        <v>166</v>
      </c>
      <c r="B170" s="467" t="s">
        <v>748</v>
      </c>
      <c r="C170" s="467" t="s">
        <v>749</v>
      </c>
      <c r="D170" s="419"/>
      <c r="E170" s="419"/>
      <c r="F170" s="419"/>
      <c r="G170" s="419"/>
      <c r="H170" s="419"/>
    </row>
    <row r="171" spans="1:8" x14ac:dyDescent="0.25">
      <c r="A171" s="466">
        <v>167</v>
      </c>
      <c r="B171" s="467" t="s">
        <v>750</v>
      </c>
      <c r="C171" s="467" t="s">
        <v>751</v>
      </c>
      <c r="D171" s="419"/>
      <c r="E171" s="419"/>
      <c r="F171" s="419"/>
      <c r="G171" s="419"/>
      <c r="H171" s="419"/>
    </row>
    <row r="172" spans="1:8" x14ac:dyDescent="0.25">
      <c r="A172" s="466">
        <v>168</v>
      </c>
      <c r="B172" s="467" t="s">
        <v>752</v>
      </c>
      <c r="C172" s="467" t="s">
        <v>512</v>
      </c>
      <c r="D172" s="419"/>
      <c r="E172" s="419"/>
      <c r="F172" s="419"/>
      <c r="G172" s="419"/>
      <c r="H172" s="419"/>
    </row>
    <row r="173" spans="1:8" x14ac:dyDescent="0.25">
      <c r="A173" s="466">
        <v>169</v>
      </c>
      <c r="B173" s="467" t="s">
        <v>753</v>
      </c>
      <c r="C173" s="467" t="s">
        <v>754</v>
      </c>
      <c r="D173" s="419"/>
      <c r="E173" s="419"/>
      <c r="F173" s="419"/>
      <c r="G173" s="419"/>
      <c r="H173" s="419"/>
    </row>
    <row r="174" spans="1:8" x14ac:dyDescent="0.25">
      <c r="A174" s="466">
        <v>170</v>
      </c>
      <c r="B174" s="467" t="s">
        <v>755</v>
      </c>
      <c r="C174" s="467" t="s">
        <v>346</v>
      </c>
      <c r="D174" s="419"/>
      <c r="E174" s="419"/>
      <c r="F174" s="419"/>
      <c r="G174" s="419"/>
      <c r="H174" s="419"/>
    </row>
    <row r="175" spans="1:8" x14ac:dyDescent="0.25">
      <c r="A175" s="466">
        <v>171</v>
      </c>
      <c r="B175" s="467" t="s">
        <v>756</v>
      </c>
      <c r="C175" s="467" t="s">
        <v>757</v>
      </c>
      <c r="D175" s="419"/>
      <c r="E175" s="419"/>
      <c r="F175" s="419"/>
      <c r="G175" s="419"/>
      <c r="H175" s="419"/>
    </row>
    <row r="176" spans="1:8" x14ac:dyDescent="0.25">
      <c r="A176" s="466">
        <v>172</v>
      </c>
      <c r="B176" s="467" t="s">
        <v>758</v>
      </c>
      <c r="C176" s="467" t="s">
        <v>759</v>
      </c>
      <c r="D176" s="419"/>
      <c r="E176" s="419"/>
      <c r="F176" s="419"/>
      <c r="G176" s="419"/>
      <c r="H176" s="419"/>
    </row>
    <row r="177" spans="1:8" x14ac:dyDescent="0.25">
      <c r="A177" s="466">
        <v>173</v>
      </c>
      <c r="B177" s="467" t="s">
        <v>760</v>
      </c>
      <c r="C177" s="467" t="s">
        <v>761</v>
      </c>
      <c r="D177" s="419"/>
      <c r="E177" s="419"/>
      <c r="F177" s="419"/>
      <c r="G177" s="419"/>
      <c r="H177" s="419"/>
    </row>
    <row r="178" spans="1:8" x14ac:dyDescent="0.25">
      <c r="A178" s="466">
        <v>174</v>
      </c>
      <c r="B178" s="467" t="s">
        <v>762</v>
      </c>
      <c r="C178" s="461" t="s">
        <v>763</v>
      </c>
      <c r="D178" s="419"/>
      <c r="E178" s="419"/>
      <c r="F178" s="419"/>
      <c r="G178" s="419"/>
      <c r="H178" s="419"/>
    </row>
    <row r="179" spans="1:8" x14ac:dyDescent="0.25">
      <c r="A179" s="466">
        <v>175</v>
      </c>
      <c r="B179" s="467" t="s">
        <v>764</v>
      </c>
      <c r="C179" s="461" t="s">
        <v>765</v>
      </c>
      <c r="D179" s="419"/>
      <c r="E179" s="419"/>
      <c r="F179" s="419"/>
      <c r="G179" s="419"/>
      <c r="H179" s="419"/>
    </row>
    <row r="180" spans="1:8" x14ac:dyDescent="0.25">
      <c r="A180" s="466">
        <v>176</v>
      </c>
      <c r="B180" s="467" t="s">
        <v>766</v>
      </c>
      <c r="C180" s="467" t="s">
        <v>767</v>
      </c>
      <c r="D180" s="419"/>
      <c r="E180" s="419"/>
      <c r="F180" s="419"/>
      <c r="G180" s="419"/>
      <c r="H180" s="419"/>
    </row>
    <row r="181" spans="1:8" x14ac:dyDescent="0.25">
      <c r="A181" s="466">
        <v>177</v>
      </c>
      <c r="B181" s="467" t="s">
        <v>340</v>
      </c>
      <c r="C181" s="467" t="s">
        <v>341</v>
      </c>
      <c r="D181" s="419"/>
      <c r="E181" s="419"/>
      <c r="F181" s="419"/>
      <c r="G181" s="419"/>
      <c r="H181" s="419"/>
    </row>
    <row r="182" spans="1:8" x14ac:dyDescent="0.25">
      <c r="A182" s="466">
        <v>178</v>
      </c>
      <c r="B182" s="467" t="s">
        <v>768</v>
      </c>
      <c r="C182" s="467" t="s">
        <v>769</v>
      </c>
      <c r="D182" s="419"/>
      <c r="E182" s="419"/>
      <c r="F182" s="419"/>
      <c r="G182" s="419"/>
      <c r="H182" s="419"/>
    </row>
    <row r="183" spans="1:8" x14ac:dyDescent="0.25">
      <c r="A183" s="466">
        <v>179</v>
      </c>
      <c r="B183" s="467" t="s">
        <v>770</v>
      </c>
      <c r="C183" s="467" t="s">
        <v>769</v>
      </c>
      <c r="D183" s="419"/>
      <c r="E183" s="419"/>
      <c r="F183" s="419"/>
      <c r="G183" s="419"/>
      <c r="H183" s="419"/>
    </row>
    <row r="184" spans="1:8" x14ac:dyDescent="0.25">
      <c r="A184" s="466">
        <v>180</v>
      </c>
      <c r="B184" s="461" t="s">
        <v>771</v>
      </c>
      <c r="C184" s="467" t="s">
        <v>772</v>
      </c>
      <c r="D184" s="419"/>
      <c r="E184" s="419"/>
      <c r="F184" s="419"/>
      <c r="G184" s="419"/>
      <c r="H184" s="419"/>
    </row>
    <row r="185" spans="1:8" x14ac:dyDescent="0.25">
      <c r="A185" s="466">
        <v>181</v>
      </c>
      <c r="B185" s="467" t="s">
        <v>773</v>
      </c>
      <c r="C185" s="467" t="s">
        <v>344</v>
      </c>
      <c r="D185" s="419"/>
      <c r="E185" s="419"/>
      <c r="F185" s="419"/>
      <c r="G185" s="419"/>
      <c r="H185" s="419"/>
    </row>
    <row r="186" spans="1:8" x14ac:dyDescent="0.25">
      <c r="A186" s="466">
        <v>182</v>
      </c>
      <c r="B186" s="467" t="s">
        <v>774</v>
      </c>
      <c r="C186" s="467" t="s">
        <v>775</v>
      </c>
      <c r="D186" s="419"/>
      <c r="E186" s="419"/>
      <c r="F186" s="419"/>
      <c r="G186" s="419"/>
      <c r="H186" s="419"/>
    </row>
    <row r="187" spans="1:8" x14ac:dyDescent="0.25">
      <c r="A187" s="466">
        <v>183</v>
      </c>
      <c r="B187" s="467" t="s">
        <v>776</v>
      </c>
      <c r="C187" s="467" t="s">
        <v>334</v>
      </c>
      <c r="D187" s="419"/>
      <c r="E187" s="419"/>
      <c r="F187" s="419"/>
      <c r="G187" s="419"/>
      <c r="H187" s="419"/>
    </row>
    <row r="188" spans="1:8" x14ac:dyDescent="0.25">
      <c r="A188" s="466">
        <v>184</v>
      </c>
      <c r="B188" s="467" t="s">
        <v>777</v>
      </c>
      <c r="C188" s="467" t="s">
        <v>778</v>
      </c>
      <c r="D188" s="419"/>
      <c r="E188" s="419"/>
      <c r="F188" s="419"/>
      <c r="G188" s="419"/>
      <c r="H188" s="419"/>
    </row>
    <row r="189" spans="1:8" x14ac:dyDescent="0.25">
      <c r="A189" s="466">
        <v>185</v>
      </c>
      <c r="B189" s="467" t="s">
        <v>286</v>
      </c>
      <c r="C189" s="467" t="s">
        <v>779</v>
      </c>
      <c r="D189" s="419"/>
      <c r="E189" s="419"/>
      <c r="F189" s="419"/>
      <c r="G189" s="419"/>
      <c r="H189" s="419"/>
    </row>
    <row r="190" spans="1:8" x14ac:dyDescent="0.25">
      <c r="A190" s="466">
        <v>186</v>
      </c>
      <c r="B190" s="467" t="s">
        <v>780</v>
      </c>
      <c r="C190" s="467" t="s">
        <v>781</v>
      </c>
      <c r="D190" s="419"/>
      <c r="E190" s="419"/>
      <c r="F190" s="419"/>
      <c r="G190" s="419"/>
      <c r="H190" s="419"/>
    </row>
    <row r="191" spans="1:8" x14ac:dyDescent="0.25">
      <c r="A191" s="466">
        <v>187</v>
      </c>
      <c r="B191" s="467" t="s">
        <v>347</v>
      </c>
      <c r="C191" s="467" t="s">
        <v>348</v>
      </c>
      <c r="D191" s="419"/>
      <c r="E191" s="419"/>
      <c r="F191" s="419"/>
      <c r="G191" s="419"/>
      <c r="H191" s="419"/>
    </row>
    <row r="192" spans="1:8" x14ac:dyDescent="0.25">
      <c r="A192" s="466">
        <v>188</v>
      </c>
      <c r="B192" s="467" t="s">
        <v>333</v>
      </c>
      <c r="C192" s="467" t="s">
        <v>782</v>
      </c>
      <c r="D192" s="419"/>
      <c r="E192" s="419"/>
      <c r="F192" s="419"/>
      <c r="G192" s="419"/>
      <c r="H192" s="419"/>
    </row>
    <row r="193" spans="1:8" x14ac:dyDescent="0.25">
      <c r="A193" s="466">
        <v>189</v>
      </c>
      <c r="B193" s="467" t="s">
        <v>783</v>
      </c>
      <c r="C193" s="467" t="s">
        <v>784</v>
      </c>
      <c r="D193" s="419"/>
      <c r="E193" s="419"/>
      <c r="F193" s="419"/>
      <c r="G193" s="419"/>
      <c r="H193" s="419"/>
    </row>
    <row r="194" spans="1:8" x14ac:dyDescent="0.25">
      <c r="A194" s="466">
        <v>190</v>
      </c>
      <c r="B194" s="467" t="s">
        <v>785</v>
      </c>
      <c r="C194" s="467" t="s">
        <v>786</v>
      </c>
      <c r="D194" s="419"/>
      <c r="E194" s="419"/>
      <c r="F194" s="419"/>
      <c r="G194" s="419"/>
      <c r="H194" s="419"/>
    </row>
    <row r="195" spans="1:8" x14ac:dyDescent="0.25">
      <c r="A195" s="466">
        <v>191</v>
      </c>
      <c r="B195" s="467" t="s">
        <v>787</v>
      </c>
      <c r="C195" s="467" t="s">
        <v>335</v>
      </c>
      <c r="D195" s="419"/>
      <c r="E195" s="419"/>
      <c r="F195" s="419"/>
      <c r="G195" s="419"/>
      <c r="H195" s="419"/>
    </row>
    <row r="196" spans="1:8" x14ac:dyDescent="0.25">
      <c r="A196" s="466">
        <v>192</v>
      </c>
      <c r="B196" s="467" t="s">
        <v>788</v>
      </c>
      <c r="C196" s="467" t="s">
        <v>345</v>
      </c>
      <c r="D196" s="419"/>
      <c r="E196" s="419"/>
      <c r="F196" s="419"/>
      <c r="G196" s="419"/>
      <c r="H196" s="419"/>
    </row>
    <row r="197" spans="1:8" x14ac:dyDescent="0.25">
      <c r="A197" s="466">
        <v>193</v>
      </c>
      <c r="B197" s="470" t="s">
        <v>789</v>
      </c>
      <c r="C197" s="467" t="s">
        <v>790</v>
      </c>
      <c r="D197" s="419"/>
      <c r="E197" s="419"/>
      <c r="F197" s="419"/>
      <c r="G197" s="419"/>
      <c r="H197" s="419"/>
    </row>
    <row r="198" spans="1:8" x14ac:dyDescent="0.25">
      <c r="A198" s="466">
        <v>194</v>
      </c>
      <c r="B198" s="467" t="s">
        <v>791</v>
      </c>
      <c r="C198" s="467" t="s">
        <v>792</v>
      </c>
      <c r="D198" s="419"/>
      <c r="E198" s="419"/>
      <c r="F198" s="419"/>
      <c r="G198" s="419"/>
      <c r="H198" s="419"/>
    </row>
    <row r="199" spans="1:8" x14ac:dyDescent="0.25">
      <c r="A199" s="466">
        <v>195</v>
      </c>
      <c r="B199" s="467" t="s">
        <v>793</v>
      </c>
      <c r="C199" s="467" t="s">
        <v>338</v>
      </c>
      <c r="D199" s="419"/>
      <c r="E199" s="419"/>
      <c r="F199" s="419"/>
      <c r="G199" s="419"/>
      <c r="H199" s="419"/>
    </row>
    <row r="200" spans="1:8" x14ac:dyDescent="0.25">
      <c r="A200" s="466">
        <v>196</v>
      </c>
      <c r="B200" s="467" t="s">
        <v>794</v>
      </c>
      <c r="C200" s="467" t="s">
        <v>795</v>
      </c>
      <c r="D200" s="419"/>
      <c r="E200" s="419"/>
      <c r="F200" s="419"/>
      <c r="G200" s="419"/>
      <c r="H200" s="419"/>
    </row>
    <row r="201" spans="1:8" x14ac:dyDescent="0.25">
      <c r="A201" s="466">
        <v>197</v>
      </c>
      <c r="B201" s="467" t="s">
        <v>796</v>
      </c>
      <c r="C201" s="467" t="s">
        <v>797</v>
      </c>
      <c r="D201" s="419"/>
      <c r="E201" s="419"/>
      <c r="F201" s="419"/>
      <c r="G201" s="419"/>
      <c r="H201" s="419"/>
    </row>
    <row r="202" spans="1:8" x14ac:dyDescent="0.25">
      <c r="A202" s="466">
        <v>198</v>
      </c>
      <c r="B202" s="467" t="s">
        <v>798</v>
      </c>
      <c r="C202" s="467" t="s">
        <v>343</v>
      </c>
      <c r="D202" s="419"/>
      <c r="E202" s="419"/>
      <c r="F202" s="419"/>
      <c r="G202" s="419"/>
      <c r="H202" s="419"/>
    </row>
    <row r="203" spans="1:8" x14ac:dyDescent="0.25">
      <c r="A203" s="466">
        <v>199</v>
      </c>
      <c r="B203" s="467" t="s">
        <v>799</v>
      </c>
      <c r="C203" s="467" t="s">
        <v>800</v>
      </c>
      <c r="D203" s="419"/>
      <c r="E203" s="419"/>
      <c r="F203" s="419"/>
      <c r="G203" s="419"/>
      <c r="H203" s="419"/>
    </row>
    <row r="204" spans="1:8" ht="26.4" x14ac:dyDescent="0.25">
      <c r="A204" s="466">
        <v>200</v>
      </c>
      <c r="B204" s="467" t="s">
        <v>801</v>
      </c>
      <c r="C204" s="467" t="s">
        <v>802</v>
      </c>
      <c r="D204" s="419"/>
      <c r="E204" s="419"/>
      <c r="F204" s="419"/>
      <c r="G204" s="419"/>
      <c r="H204" s="419"/>
    </row>
    <row r="205" spans="1:8" x14ac:dyDescent="0.25">
      <c r="A205" s="466">
        <v>201</v>
      </c>
      <c r="B205" s="467" t="s">
        <v>803</v>
      </c>
      <c r="C205" s="467" t="s">
        <v>339</v>
      </c>
      <c r="D205" s="419"/>
      <c r="E205" s="419"/>
      <c r="F205" s="419"/>
      <c r="G205" s="419"/>
      <c r="H205" s="419"/>
    </row>
    <row r="206" spans="1:8" x14ac:dyDescent="0.25">
      <c r="A206" s="466">
        <v>202</v>
      </c>
      <c r="B206" s="467" t="s">
        <v>804</v>
      </c>
      <c r="C206" s="467" t="s">
        <v>805</v>
      </c>
      <c r="D206" s="419"/>
      <c r="E206" s="419"/>
      <c r="F206" s="419"/>
      <c r="G206" s="419"/>
      <c r="H206" s="419"/>
    </row>
    <row r="207" spans="1:8" x14ac:dyDescent="0.25">
      <c r="A207" s="466">
        <v>203</v>
      </c>
      <c r="B207" s="461" t="s">
        <v>806</v>
      </c>
      <c r="C207" s="467" t="s">
        <v>807</v>
      </c>
      <c r="D207" s="419"/>
      <c r="E207" s="419"/>
      <c r="F207" s="419"/>
      <c r="G207" s="419"/>
      <c r="H207" s="419"/>
    </row>
    <row r="208" spans="1:8" x14ac:dyDescent="0.25">
      <c r="A208" s="466">
        <v>204</v>
      </c>
      <c r="B208" s="461" t="s">
        <v>808</v>
      </c>
      <c r="C208" s="467" t="s">
        <v>809</v>
      </c>
      <c r="D208" s="419"/>
      <c r="E208" s="419"/>
      <c r="F208" s="419"/>
      <c r="G208" s="419"/>
      <c r="H208" s="419"/>
    </row>
    <row r="209" spans="1:8" x14ac:dyDescent="0.25">
      <c r="A209" s="466">
        <v>205</v>
      </c>
      <c r="B209" s="467" t="s">
        <v>810</v>
      </c>
      <c r="C209" s="467" t="s">
        <v>811</v>
      </c>
      <c r="D209" s="419"/>
      <c r="E209" s="419"/>
      <c r="F209" s="419"/>
      <c r="G209" s="419"/>
      <c r="H209" s="419"/>
    </row>
    <row r="210" spans="1:8" x14ac:dyDescent="0.25">
      <c r="A210" s="466">
        <v>206</v>
      </c>
      <c r="B210" s="467" t="s">
        <v>812</v>
      </c>
      <c r="C210" s="467" t="s">
        <v>813</v>
      </c>
      <c r="D210" s="419"/>
      <c r="E210" s="419"/>
      <c r="F210" s="419"/>
      <c r="G210" s="419"/>
      <c r="H210" s="419"/>
    </row>
    <row r="211" spans="1:8" x14ac:dyDescent="0.25">
      <c r="A211" s="466">
        <v>207</v>
      </c>
      <c r="B211" s="467" t="s">
        <v>814</v>
      </c>
      <c r="C211" s="467" t="s">
        <v>815</v>
      </c>
      <c r="D211" s="419"/>
      <c r="E211" s="419"/>
      <c r="F211" s="419"/>
      <c r="G211" s="419"/>
      <c r="H211" s="419"/>
    </row>
    <row r="212" spans="1:8" x14ac:dyDescent="0.25">
      <c r="A212" s="466">
        <v>208</v>
      </c>
      <c r="B212" s="467" t="s">
        <v>816</v>
      </c>
      <c r="C212" s="467" t="s">
        <v>817</v>
      </c>
      <c r="D212" s="419"/>
      <c r="E212" s="419"/>
      <c r="F212" s="419"/>
      <c r="G212" s="419"/>
      <c r="H212" s="419"/>
    </row>
    <row r="213" spans="1:8" x14ac:dyDescent="0.25">
      <c r="A213" s="466">
        <v>209</v>
      </c>
      <c r="B213" s="467" t="s">
        <v>818</v>
      </c>
      <c r="C213" s="467" t="s">
        <v>819</v>
      </c>
      <c r="D213" s="419"/>
      <c r="E213" s="419"/>
      <c r="F213" s="419"/>
      <c r="G213" s="419"/>
      <c r="H213" s="419"/>
    </row>
    <row r="214" spans="1:8" x14ac:dyDescent="0.25">
      <c r="A214" s="466">
        <v>210</v>
      </c>
      <c r="B214" s="467" t="s">
        <v>820</v>
      </c>
      <c r="C214" s="461" t="s">
        <v>352</v>
      </c>
      <c r="D214" s="419"/>
      <c r="E214" s="419"/>
      <c r="F214" s="419"/>
      <c r="G214" s="419"/>
      <c r="H214" s="419"/>
    </row>
    <row r="215" spans="1:8" x14ac:dyDescent="0.25">
      <c r="A215" s="466">
        <v>211</v>
      </c>
      <c r="B215" s="467" t="s">
        <v>821</v>
      </c>
      <c r="C215" s="467" t="s">
        <v>822</v>
      </c>
      <c r="D215" s="419"/>
      <c r="E215" s="419"/>
      <c r="F215" s="419"/>
      <c r="G215" s="419"/>
      <c r="H215" s="419"/>
    </row>
    <row r="216" spans="1:8" x14ac:dyDescent="0.25">
      <c r="A216" s="466">
        <v>212</v>
      </c>
      <c r="B216" s="467" t="s">
        <v>361</v>
      </c>
      <c r="C216" s="467" t="s">
        <v>823</v>
      </c>
      <c r="D216" s="419"/>
      <c r="E216" s="419"/>
      <c r="F216" s="419"/>
      <c r="G216" s="419"/>
      <c r="H216" s="419"/>
    </row>
    <row r="217" spans="1:8" x14ac:dyDescent="0.25">
      <c r="A217" s="466">
        <v>213</v>
      </c>
      <c r="B217" s="467" t="s">
        <v>824</v>
      </c>
      <c r="C217" s="467" t="s">
        <v>825</v>
      </c>
      <c r="D217" s="419"/>
      <c r="E217" s="419"/>
      <c r="F217" s="419"/>
      <c r="G217" s="419"/>
      <c r="H217" s="419"/>
    </row>
    <row r="218" spans="1:8" x14ac:dyDescent="0.25">
      <c r="A218" s="466">
        <v>214</v>
      </c>
      <c r="B218" s="467" t="s">
        <v>362</v>
      </c>
      <c r="C218" s="467" t="s">
        <v>363</v>
      </c>
      <c r="D218" s="419"/>
      <c r="E218" s="419"/>
      <c r="F218" s="419"/>
      <c r="G218" s="419"/>
      <c r="H218" s="419"/>
    </row>
    <row r="219" spans="1:8" x14ac:dyDescent="0.25">
      <c r="A219" s="466">
        <v>215</v>
      </c>
      <c r="B219" s="467" t="s">
        <v>826</v>
      </c>
      <c r="C219" s="467" t="s">
        <v>827</v>
      </c>
      <c r="D219" s="419"/>
      <c r="E219" s="419"/>
      <c r="F219" s="419"/>
      <c r="G219" s="419"/>
      <c r="H219" s="419"/>
    </row>
    <row r="220" spans="1:8" x14ac:dyDescent="0.25">
      <c r="A220" s="466">
        <v>216</v>
      </c>
      <c r="B220" s="467" t="s">
        <v>828</v>
      </c>
      <c r="C220" s="467" t="s">
        <v>829</v>
      </c>
      <c r="D220" s="419"/>
      <c r="E220" s="419"/>
      <c r="F220" s="419"/>
      <c r="G220" s="419"/>
      <c r="H220" s="419"/>
    </row>
    <row r="221" spans="1:8" x14ac:dyDescent="0.25">
      <c r="A221" s="466">
        <v>217</v>
      </c>
      <c r="B221" s="467" t="s">
        <v>830</v>
      </c>
      <c r="C221" s="467" t="s">
        <v>831</v>
      </c>
      <c r="D221" s="419"/>
      <c r="E221" s="419"/>
      <c r="F221" s="419"/>
      <c r="G221" s="419"/>
      <c r="H221" s="419"/>
    </row>
    <row r="222" spans="1:8" ht="26.4" x14ac:dyDescent="0.25">
      <c r="A222" s="466">
        <v>218</v>
      </c>
      <c r="B222" s="467" t="s">
        <v>355</v>
      </c>
      <c r="C222" s="467" t="s">
        <v>831</v>
      </c>
      <c r="D222" s="419"/>
      <c r="E222" s="419"/>
      <c r="F222" s="419"/>
      <c r="G222" s="419"/>
      <c r="H222" s="419"/>
    </row>
    <row r="223" spans="1:8" x14ac:dyDescent="0.25">
      <c r="A223" s="466">
        <v>219</v>
      </c>
      <c r="B223" s="467" t="s">
        <v>356</v>
      </c>
      <c r="C223" s="467" t="s">
        <v>357</v>
      </c>
      <c r="D223" s="419"/>
      <c r="E223" s="419"/>
      <c r="F223" s="419"/>
      <c r="G223" s="419"/>
      <c r="H223" s="419"/>
    </row>
    <row r="224" spans="1:8" x14ac:dyDescent="0.25">
      <c r="A224" s="466">
        <v>220</v>
      </c>
      <c r="B224" s="467" t="s">
        <v>832</v>
      </c>
      <c r="C224" s="467" t="s">
        <v>833</v>
      </c>
      <c r="D224" s="419"/>
      <c r="E224" s="419"/>
      <c r="F224" s="419"/>
      <c r="G224" s="419"/>
      <c r="H224" s="419"/>
    </row>
    <row r="225" spans="1:8" x14ac:dyDescent="0.25">
      <c r="A225" s="466">
        <v>221</v>
      </c>
      <c r="B225" s="467" t="s">
        <v>350</v>
      </c>
      <c r="C225" s="467" t="s">
        <v>351</v>
      </c>
      <c r="D225" s="419"/>
      <c r="E225" s="419"/>
      <c r="F225" s="419"/>
      <c r="G225" s="419"/>
      <c r="H225" s="419"/>
    </row>
    <row r="226" spans="1:8" x14ac:dyDescent="0.25">
      <c r="A226" s="466">
        <v>222</v>
      </c>
      <c r="B226" s="467" t="s">
        <v>834</v>
      </c>
      <c r="C226" s="467" t="s">
        <v>359</v>
      </c>
      <c r="D226" s="419"/>
      <c r="E226" s="419"/>
      <c r="F226" s="419"/>
      <c r="G226" s="419"/>
      <c r="H226" s="419"/>
    </row>
    <row r="227" spans="1:8" x14ac:dyDescent="0.25">
      <c r="A227" s="466">
        <v>223</v>
      </c>
      <c r="B227" s="467" t="s">
        <v>835</v>
      </c>
      <c r="C227" s="467" t="s">
        <v>349</v>
      </c>
      <c r="D227" s="419"/>
      <c r="E227" s="419"/>
      <c r="F227" s="419"/>
      <c r="G227" s="419"/>
      <c r="H227" s="419"/>
    </row>
    <row r="228" spans="1:8" x14ac:dyDescent="0.25">
      <c r="A228" s="466">
        <v>224</v>
      </c>
      <c r="B228" s="467" t="s">
        <v>836</v>
      </c>
      <c r="C228" s="467" t="s">
        <v>358</v>
      </c>
      <c r="D228" s="419"/>
      <c r="E228" s="419"/>
      <c r="F228" s="419"/>
      <c r="G228" s="419"/>
      <c r="H228" s="419"/>
    </row>
    <row r="229" spans="1:8" x14ac:dyDescent="0.25">
      <c r="A229" s="466">
        <v>225</v>
      </c>
      <c r="B229" s="467" t="s">
        <v>837</v>
      </c>
      <c r="C229" s="467" t="s">
        <v>838</v>
      </c>
      <c r="D229" s="419"/>
      <c r="E229" s="419"/>
      <c r="F229" s="419"/>
      <c r="G229" s="419"/>
      <c r="H229" s="419"/>
    </row>
    <row r="230" spans="1:8" x14ac:dyDescent="0.25">
      <c r="A230" s="466">
        <v>226</v>
      </c>
      <c r="B230" s="467" t="s">
        <v>839</v>
      </c>
      <c r="C230" s="467" t="s">
        <v>840</v>
      </c>
      <c r="D230" s="419"/>
      <c r="E230" s="419"/>
      <c r="F230" s="419"/>
      <c r="G230" s="419"/>
      <c r="H230" s="419"/>
    </row>
    <row r="231" spans="1:8" x14ac:dyDescent="0.25">
      <c r="A231" s="466">
        <v>227</v>
      </c>
      <c r="B231" s="467" t="s">
        <v>841</v>
      </c>
      <c r="C231" s="467" t="s">
        <v>842</v>
      </c>
      <c r="D231" s="419"/>
      <c r="E231" s="419"/>
      <c r="F231" s="419"/>
      <c r="G231" s="419"/>
      <c r="H231" s="419"/>
    </row>
    <row r="232" spans="1:8" x14ac:dyDescent="0.25">
      <c r="A232" s="466">
        <v>228</v>
      </c>
      <c r="B232" s="467" t="s">
        <v>843</v>
      </c>
      <c r="C232" s="467" t="s">
        <v>844</v>
      </c>
      <c r="D232" s="419"/>
      <c r="E232" s="419"/>
      <c r="F232" s="419"/>
      <c r="G232" s="419"/>
      <c r="H232" s="419"/>
    </row>
    <row r="233" spans="1:8" x14ac:dyDescent="0.25">
      <c r="A233" s="466">
        <v>229</v>
      </c>
      <c r="B233" s="467" t="s">
        <v>845</v>
      </c>
      <c r="C233" s="467" t="s">
        <v>846</v>
      </c>
      <c r="D233" s="419"/>
      <c r="E233" s="419"/>
      <c r="F233" s="419"/>
      <c r="G233" s="419"/>
      <c r="H233" s="419"/>
    </row>
    <row r="234" spans="1:8" x14ac:dyDescent="0.25">
      <c r="A234" s="466">
        <v>230</v>
      </c>
      <c r="B234" s="467" t="s">
        <v>847</v>
      </c>
      <c r="C234" s="467" t="s">
        <v>848</v>
      </c>
      <c r="D234" s="419"/>
      <c r="E234" s="419"/>
      <c r="F234" s="419"/>
      <c r="G234" s="419"/>
      <c r="H234" s="419"/>
    </row>
    <row r="235" spans="1:8" x14ac:dyDescent="0.25">
      <c r="A235" s="466">
        <v>231</v>
      </c>
      <c r="B235" s="467" t="s">
        <v>849</v>
      </c>
      <c r="C235" s="467" t="s">
        <v>850</v>
      </c>
      <c r="D235" s="419"/>
      <c r="E235" s="419"/>
      <c r="F235" s="419"/>
      <c r="G235" s="419"/>
      <c r="H235" s="419"/>
    </row>
    <row r="236" spans="1:8" x14ac:dyDescent="0.25">
      <c r="A236" s="466">
        <v>232</v>
      </c>
      <c r="B236" s="468" t="s">
        <v>353</v>
      </c>
      <c r="C236" s="468" t="s">
        <v>354</v>
      </c>
      <c r="D236" s="419"/>
      <c r="E236" s="419"/>
      <c r="F236" s="419"/>
      <c r="G236" s="419"/>
      <c r="H236" s="419"/>
    </row>
    <row r="237" spans="1:8" x14ac:dyDescent="0.25">
      <c r="A237" s="466">
        <v>233</v>
      </c>
      <c r="B237" s="467" t="s">
        <v>851</v>
      </c>
      <c r="C237" s="467" t="s">
        <v>360</v>
      </c>
      <c r="D237" s="419"/>
      <c r="E237" s="419"/>
      <c r="F237" s="419"/>
      <c r="G237" s="419"/>
      <c r="H237" s="419"/>
    </row>
    <row r="238" spans="1:8" x14ac:dyDescent="0.25">
      <c r="A238" s="466">
        <v>234</v>
      </c>
      <c r="B238" s="467" t="s">
        <v>852</v>
      </c>
      <c r="C238" s="467" t="s">
        <v>853</v>
      </c>
      <c r="D238" s="419"/>
      <c r="E238" s="419"/>
      <c r="F238" s="419"/>
      <c r="G238" s="419"/>
      <c r="H238" s="419"/>
    </row>
    <row r="239" spans="1:8" x14ac:dyDescent="0.25">
      <c r="A239" s="466">
        <v>235</v>
      </c>
      <c r="B239" s="467" t="s">
        <v>854</v>
      </c>
      <c r="C239" s="467" t="s">
        <v>855</v>
      </c>
      <c r="D239" s="419"/>
      <c r="E239" s="419"/>
      <c r="F239" s="419"/>
      <c r="G239" s="419"/>
      <c r="H239" s="419"/>
    </row>
    <row r="240" spans="1:8" ht="26.4" x14ac:dyDescent="0.25">
      <c r="A240" s="466">
        <v>236</v>
      </c>
      <c r="B240" s="467" t="s">
        <v>366</v>
      </c>
      <c r="C240" s="467" t="s">
        <v>367</v>
      </c>
      <c r="D240" s="419"/>
      <c r="E240" s="419"/>
      <c r="F240" s="419"/>
      <c r="G240" s="419"/>
      <c r="H240" s="419"/>
    </row>
    <row r="241" spans="1:8" x14ac:dyDescent="0.25">
      <c r="A241" s="466">
        <v>237</v>
      </c>
      <c r="B241" s="467" t="s">
        <v>364</v>
      </c>
      <c r="C241" s="467" t="s">
        <v>365</v>
      </c>
      <c r="D241" s="419"/>
      <c r="E241" s="419"/>
      <c r="F241" s="419"/>
      <c r="G241" s="419"/>
      <c r="H241" s="419"/>
    </row>
    <row r="242" spans="1:8" x14ac:dyDescent="0.25">
      <c r="A242" s="466">
        <v>238</v>
      </c>
      <c r="B242" s="467" t="s">
        <v>856</v>
      </c>
      <c r="C242" s="467" t="s">
        <v>285</v>
      </c>
      <c r="D242" s="419"/>
      <c r="E242" s="419"/>
      <c r="F242" s="419"/>
      <c r="G242" s="419"/>
      <c r="H242" s="419"/>
    </row>
    <row r="243" spans="1:8" x14ac:dyDescent="0.25">
      <c r="A243" s="466">
        <v>239</v>
      </c>
      <c r="B243" s="467" t="s">
        <v>857</v>
      </c>
      <c r="C243" s="467" t="s">
        <v>858</v>
      </c>
      <c r="D243" s="419"/>
      <c r="E243" s="419"/>
      <c r="F243" s="419"/>
      <c r="G243" s="419"/>
      <c r="H243" s="419"/>
    </row>
    <row r="244" spans="1:8" ht="26.4" x14ac:dyDescent="0.25">
      <c r="A244" s="466">
        <v>240</v>
      </c>
      <c r="B244" s="467" t="s">
        <v>859</v>
      </c>
      <c r="C244" s="467" t="s">
        <v>860</v>
      </c>
      <c r="D244" s="419"/>
      <c r="E244" s="419"/>
      <c r="F244" s="419"/>
      <c r="G244" s="419"/>
      <c r="H244" s="419"/>
    </row>
    <row r="245" spans="1:8" x14ac:dyDescent="0.25">
      <c r="A245" s="466">
        <v>241</v>
      </c>
      <c r="B245" s="467" t="s">
        <v>374</v>
      </c>
      <c r="C245" s="467" t="s">
        <v>375</v>
      </c>
      <c r="D245" s="419"/>
      <c r="E245" s="419"/>
      <c r="F245" s="419"/>
      <c r="G245" s="419"/>
      <c r="H245" s="419"/>
    </row>
    <row r="246" spans="1:8" x14ac:dyDescent="0.25">
      <c r="A246" s="466">
        <v>242</v>
      </c>
      <c r="B246" s="467" t="s">
        <v>369</v>
      </c>
      <c r="C246" s="467" t="s">
        <v>368</v>
      </c>
      <c r="D246" s="419"/>
      <c r="E246" s="419"/>
      <c r="F246" s="419"/>
      <c r="G246" s="419"/>
      <c r="H246" s="419"/>
    </row>
    <row r="247" spans="1:8" x14ac:dyDescent="0.25">
      <c r="A247" s="466">
        <v>243</v>
      </c>
      <c r="B247" s="467" t="s">
        <v>861</v>
      </c>
      <c r="C247" s="467" t="s">
        <v>862</v>
      </c>
      <c r="D247" s="419"/>
      <c r="E247" s="419"/>
      <c r="F247" s="419"/>
      <c r="G247" s="419"/>
      <c r="H247" s="419"/>
    </row>
    <row r="248" spans="1:8" x14ac:dyDescent="0.25">
      <c r="A248" s="466">
        <v>244</v>
      </c>
      <c r="B248" s="467" t="s">
        <v>373</v>
      </c>
      <c r="C248" s="467" t="s">
        <v>863</v>
      </c>
      <c r="D248" s="419"/>
      <c r="E248" s="419"/>
      <c r="F248" s="419"/>
      <c r="G248" s="419"/>
      <c r="H248" s="419"/>
    </row>
    <row r="249" spans="1:8" x14ac:dyDescent="0.25">
      <c r="A249" s="466">
        <v>245</v>
      </c>
      <c r="B249" s="467" t="s">
        <v>371</v>
      </c>
      <c r="C249" s="467" t="s">
        <v>372</v>
      </c>
      <c r="D249" s="419"/>
      <c r="E249" s="419"/>
      <c r="F249" s="419"/>
      <c r="G249" s="419"/>
      <c r="H249" s="419"/>
    </row>
    <row r="250" spans="1:8" x14ac:dyDescent="0.25">
      <c r="A250" s="466">
        <v>246</v>
      </c>
      <c r="B250" s="467" t="s">
        <v>864</v>
      </c>
      <c r="C250" s="467" t="s">
        <v>278</v>
      </c>
      <c r="D250" s="419"/>
      <c r="E250" s="419"/>
      <c r="F250" s="419"/>
      <c r="G250" s="419"/>
      <c r="H250" s="419"/>
    </row>
    <row r="251" spans="1:8" x14ac:dyDescent="0.25">
      <c r="A251" s="466">
        <v>247</v>
      </c>
      <c r="B251" s="467" t="s">
        <v>865</v>
      </c>
      <c r="C251" s="467" t="s">
        <v>866</v>
      </c>
      <c r="D251" s="419"/>
      <c r="E251" s="419"/>
      <c r="F251" s="419"/>
      <c r="G251" s="419"/>
      <c r="H251" s="419"/>
    </row>
    <row r="252" spans="1:8" x14ac:dyDescent="0.25">
      <c r="A252" s="466">
        <v>248</v>
      </c>
      <c r="B252" s="467" t="s">
        <v>867</v>
      </c>
      <c r="C252" s="467" t="s">
        <v>370</v>
      </c>
      <c r="D252" s="419"/>
      <c r="E252" s="419"/>
      <c r="F252" s="419"/>
      <c r="G252" s="419"/>
      <c r="H252" s="419"/>
    </row>
    <row r="253" spans="1:8" x14ac:dyDescent="0.25">
      <c r="A253" s="466">
        <v>249</v>
      </c>
      <c r="B253" s="467" t="s">
        <v>868</v>
      </c>
      <c r="C253" s="467" t="s">
        <v>866</v>
      </c>
      <c r="D253" s="419"/>
      <c r="E253" s="419"/>
      <c r="F253" s="419"/>
      <c r="G253" s="419"/>
      <c r="H253" s="419"/>
    </row>
    <row r="254" spans="1:8" x14ac:dyDescent="0.25">
      <c r="A254" s="466">
        <v>250</v>
      </c>
      <c r="B254" s="467" t="s">
        <v>869</v>
      </c>
      <c r="C254" s="467" t="s">
        <v>528</v>
      </c>
      <c r="D254" s="419"/>
      <c r="E254" s="419"/>
      <c r="F254" s="419"/>
      <c r="G254" s="419"/>
      <c r="H254" s="419"/>
    </row>
    <row r="255" spans="1:8" x14ac:dyDescent="0.25">
      <c r="A255" s="466">
        <v>251</v>
      </c>
      <c r="B255" s="467" t="s">
        <v>376</v>
      </c>
      <c r="C255" s="467" t="s">
        <v>377</v>
      </c>
      <c r="D255" s="419"/>
      <c r="E255" s="419"/>
      <c r="F255" s="419"/>
      <c r="G255" s="419"/>
      <c r="H255" s="419"/>
    </row>
    <row r="256" spans="1:8" x14ac:dyDescent="0.25">
      <c r="A256" s="466">
        <v>252</v>
      </c>
      <c r="B256" s="467" t="s">
        <v>870</v>
      </c>
      <c r="C256" s="467" t="s">
        <v>871</v>
      </c>
      <c r="D256" s="419"/>
      <c r="E256" s="419"/>
      <c r="F256" s="419"/>
      <c r="G256" s="419"/>
      <c r="H256" s="419"/>
    </row>
    <row r="257" spans="1:8" x14ac:dyDescent="0.25">
      <c r="A257" s="466">
        <v>253</v>
      </c>
      <c r="B257" s="467" t="s">
        <v>872</v>
      </c>
      <c r="C257" s="467" t="s">
        <v>873</v>
      </c>
      <c r="D257" s="419"/>
      <c r="E257" s="419"/>
      <c r="F257" s="419"/>
      <c r="G257" s="419"/>
      <c r="H257" s="419"/>
    </row>
    <row r="258" spans="1:8" x14ac:dyDescent="0.25">
      <c r="A258" s="466">
        <v>254</v>
      </c>
      <c r="B258" s="467" t="s">
        <v>874</v>
      </c>
      <c r="C258" s="467" t="s">
        <v>875</v>
      </c>
      <c r="D258" s="419"/>
      <c r="E258" s="419"/>
      <c r="F258" s="419"/>
      <c r="G258" s="419"/>
      <c r="H258" s="419"/>
    </row>
    <row r="259" spans="1:8" ht="26.4" x14ac:dyDescent="0.25">
      <c r="A259" s="466">
        <v>255</v>
      </c>
      <c r="B259" s="467" t="s">
        <v>378</v>
      </c>
      <c r="C259" s="467" t="s">
        <v>379</v>
      </c>
      <c r="D259" s="419"/>
      <c r="E259" s="419"/>
      <c r="F259" s="419"/>
      <c r="G259" s="419"/>
      <c r="H259" s="419"/>
    </row>
    <row r="260" spans="1:8" x14ac:dyDescent="0.25">
      <c r="A260" s="466">
        <v>256</v>
      </c>
      <c r="B260" s="461" t="s">
        <v>876</v>
      </c>
      <c r="C260" s="470" t="s">
        <v>877</v>
      </c>
      <c r="D260" s="419"/>
      <c r="E260" s="419"/>
      <c r="F260" s="419"/>
      <c r="G260" s="419"/>
      <c r="H260" s="419"/>
    </row>
    <row r="261" spans="1:8" x14ac:dyDescent="0.25">
      <c r="A261" s="466">
        <v>257</v>
      </c>
      <c r="B261" s="467" t="s">
        <v>382</v>
      </c>
      <c r="C261" s="467" t="s">
        <v>383</v>
      </c>
      <c r="D261" s="419"/>
      <c r="E261" s="419"/>
      <c r="F261" s="419"/>
      <c r="G261" s="419"/>
      <c r="H261" s="419"/>
    </row>
    <row r="262" spans="1:8" x14ac:dyDescent="0.25">
      <c r="A262" s="466">
        <v>258</v>
      </c>
      <c r="B262" s="461" t="s">
        <v>380</v>
      </c>
      <c r="C262" s="467" t="s">
        <v>381</v>
      </c>
      <c r="D262" s="419"/>
      <c r="E262" s="419"/>
      <c r="F262" s="419"/>
      <c r="G262" s="419"/>
      <c r="H262" s="419"/>
    </row>
    <row r="263" spans="1:8" x14ac:dyDescent="0.25">
      <c r="A263" s="466">
        <v>259</v>
      </c>
      <c r="B263" s="461" t="s">
        <v>878</v>
      </c>
      <c r="C263" s="467" t="s">
        <v>879</v>
      </c>
      <c r="D263" s="419"/>
      <c r="E263" s="419"/>
      <c r="F263" s="419"/>
      <c r="G263" s="419"/>
      <c r="H263" s="419"/>
    </row>
    <row r="264" spans="1:8" x14ac:dyDescent="0.25">
      <c r="A264" s="466">
        <v>260</v>
      </c>
      <c r="B264" s="461" t="s">
        <v>880</v>
      </c>
      <c r="C264" s="467" t="s">
        <v>384</v>
      </c>
      <c r="D264" s="419"/>
      <c r="E264" s="419"/>
      <c r="F264" s="419"/>
      <c r="G264" s="419"/>
      <c r="H264" s="419"/>
    </row>
    <row r="265" spans="1:8" x14ac:dyDescent="0.25">
      <c r="A265" s="466">
        <v>261</v>
      </c>
      <c r="B265" s="461" t="s">
        <v>881</v>
      </c>
      <c r="C265" s="467" t="s">
        <v>882</v>
      </c>
      <c r="D265" s="419"/>
      <c r="E265" s="419"/>
      <c r="F265" s="419"/>
      <c r="G265" s="419"/>
      <c r="H265" s="419"/>
    </row>
    <row r="266" spans="1:8" x14ac:dyDescent="0.25">
      <c r="A266" s="466">
        <v>262</v>
      </c>
      <c r="B266" s="461" t="s">
        <v>883</v>
      </c>
      <c r="C266" s="467" t="s">
        <v>385</v>
      </c>
      <c r="D266" s="419"/>
      <c r="E266" s="419"/>
      <c r="F266" s="419"/>
      <c r="G266" s="419"/>
      <c r="H266" s="419"/>
    </row>
    <row r="267" spans="1:8" x14ac:dyDescent="0.25">
      <c r="A267" s="466">
        <v>263</v>
      </c>
      <c r="B267" s="461" t="s">
        <v>884</v>
      </c>
      <c r="C267" s="467" t="s">
        <v>387</v>
      </c>
      <c r="D267" s="419"/>
      <c r="E267" s="419"/>
      <c r="F267" s="419"/>
      <c r="G267" s="419"/>
      <c r="H267" s="419"/>
    </row>
    <row r="268" spans="1:8" x14ac:dyDescent="0.25">
      <c r="A268" s="466">
        <v>264</v>
      </c>
      <c r="B268" s="461" t="s">
        <v>386</v>
      </c>
      <c r="C268" s="467" t="s">
        <v>885</v>
      </c>
      <c r="D268" s="419"/>
      <c r="E268" s="419"/>
      <c r="F268" s="419"/>
      <c r="G268" s="419"/>
      <c r="H268" s="419"/>
    </row>
    <row r="269" spans="1:8" x14ac:dyDescent="0.25">
      <c r="A269" s="466">
        <v>265</v>
      </c>
      <c r="B269" s="461" t="s">
        <v>886</v>
      </c>
      <c r="C269" s="467" t="s">
        <v>887</v>
      </c>
      <c r="D269" s="419"/>
      <c r="E269" s="419"/>
      <c r="F269" s="419"/>
      <c r="G269" s="419"/>
      <c r="H269" s="419"/>
    </row>
    <row r="270" spans="1:8" x14ac:dyDescent="0.25">
      <c r="A270" s="466">
        <v>266</v>
      </c>
      <c r="B270" s="461" t="s">
        <v>888</v>
      </c>
      <c r="C270" s="467" t="s">
        <v>889</v>
      </c>
      <c r="D270" s="419"/>
      <c r="E270" s="419"/>
      <c r="F270" s="419"/>
      <c r="G270" s="419"/>
      <c r="H270" s="419"/>
    </row>
    <row r="271" spans="1:8" ht="13.8" x14ac:dyDescent="0.25">
      <c r="A271" s="466">
        <v>267</v>
      </c>
      <c r="B271" s="473" t="s">
        <v>890</v>
      </c>
      <c r="C271" s="467" t="s">
        <v>891</v>
      </c>
      <c r="D271" s="419"/>
      <c r="E271" s="419"/>
      <c r="F271" s="419"/>
      <c r="G271" s="419"/>
      <c r="H271" s="419"/>
    </row>
    <row r="272" spans="1:8" ht="26.4" x14ac:dyDescent="0.25">
      <c r="A272" s="466">
        <v>268</v>
      </c>
      <c r="B272" s="419" t="s">
        <v>892</v>
      </c>
      <c r="C272" s="467" t="s">
        <v>893</v>
      </c>
      <c r="D272" s="419"/>
      <c r="E272" s="419"/>
      <c r="F272" s="419"/>
      <c r="G272" s="419"/>
      <c r="H272" s="419"/>
    </row>
    <row r="273" spans="1:8" x14ac:dyDescent="0.25">
      <c r="A273" s="466">
        <v>269</v>
      </c>
      <c r="B273" s="461" t="s">
        <v>894</v>
      </c>
      <c r="C273" s="467" t="s">
        <v>895</v>
      </c>
      <c r="D273" s="419"/>
      <c r="E273" s="419"/>
      <c r="F273" s="419"/>
      <c r="G273" s="419"/>
      <c r="H273" s="419"/>
    </row>
    <row r="274" spans="1:8" x14ac:dyDescent="0.25">
      <c r="A274" s="466">
        <v>270</v>
      </c>
      <c r="B274" s="460" t="s">
        <v>896</v>
      </c>
      <c r="C274" s="468" t="s">
        <v>897</v>
      </c>
      <c r="D274" s="419"/>
      <c r="E274" s="419"/>
      <c r="F274" s="419"/>
      <c r="G274" s="419"/>
      <c r="H274" s="419"/>
    </row>
    <row r="275" spans="1:8" x14ac:dyDescent="0.25">
      <c r="A275" s="466">
        <v>271</v>
      </c>
      <c r="B275" s="460" t="s">
        <v>898</v>
      </c>
      <c r="C275" s="468" t="s">
        <v>389</v>
      </c>
      <c r="D275" s="419"/>
      <c r="E275" s="419"/>
      <c r="F275" s="419"/>
      <c r="G275" s="419"/>
      <c r="H275" s="419"/>
    </row>
    <row r="276" spans="1:8" x14ac:dyDescent="0.25">
      <c r="A276" s="466">
        <v>272</v>
      </c>
      <c r="B276" s="461" t="s">
        <v>899</v>
      </c>
      <c r="C276" s="467" t="s">
        <v>900</v>
      </c>
      <c r="D276" s="419"/>
      <c r="E276" s="419"/>
      <c r="F276" s="419"/>
      <c r="G276" s="419"/>
      <c r="H276" s="419"/>
    </row>
    <row r="277" spans="1:8" x14ac:dyDescent="0.25">
      <c r="A277" s="466">
        <v>273</v>
      </c>
      <c r="B277" s="461" t="s">
        <v>901</v>
      </c>
      <c r="C277" s="461" t="s">
        <v>902</v>
      </c>
      <c r="D277" s="419"/>
      <c r="E277" s="419"/>
      <c r="F277" s="419"/>
      <c r="G277" s="419"/>
      <c r="H277" s="419"/>
    </row>
    <row r="278" spans="1:8" x14ac:dyDescent="0.25">
      <c r="A278" s="466">
        <v>274</v>
      </c>
      <c r="B278" s="461" t="s">
        <v>903</v>
      </c>
      <c r="C278" s="467" t="s">
        <v>904</v>
      </c>
      <c r="D278" s="419"/>
      <c r="E278" s="419"/>
      <c r="F278" s="419"/>
      <c r="G278" s="419"/>
      <c r="H278" s="419"/>
    </row>
    <row r="279" spans="1:8" x14ac:dyDescent="0.25">
      <c r="A279" s="466">
        <v>275</v>
      </c>
      <c r="B279" s="461" t="s">
        <v>905</v>
      </c>
      <c r="C279" s="467" t="s">
        <v>393</v>
      </c>
      <c r="D279" s="419"/>
      <c r="E279" s="419"/>
      <c r="F279" s="419"/>
      <c r="G279" s="419"/>
      <c r="H279" s="419"/>
    </row>
    <row r="280" spans="1:8" x14ac:dyDescent="0.25">
      <c r="A280" s="466">
        <v>276</v>
      </c>
      <c r="B280" s="461" t="s">
        <v>390</v>
      </c>
      <c r="C280" s="467" t="s">
        <v>391</v>
      </c>
      <c r="D280" s="419"/>
      <c r="E280" s="419"/>
      <c r="F280" s="419"/>
      <c r="G280" s="419"/>
      <c r="H280" s="419"/>
    </row>
    <row r="281" spans="1:8" x14ac:dyDescent="0.25">
      <c r="A281" s="466">
        <v>277</v>
      </c>
      <c r="B281" s="461" t="s">
        <v>392</v>
      </c>
      <c r="C281" s="467" t="s">
        <v>906</v>
      </c>
      <c r="D281" s="419"/>
      <c r="E281" s="419"/>
      <c r="F281" s="419"/>
      <c r="G281" s="419"/>
      <c r="H281" s="419"/>
    </row>
    <row r="282" spans="1:8" x14ac:dyDescent="0.25">
      <c r="A282" s="466">
        <v>278</v>
      </c>
      <c r="B282" s="461" t="s">
        <v>907</v>
      </c>
      <c r="C282" s="474" t="s">
        <v>908</v>
      </c>
      <c r="D282" s="419"/>
      <c r="E282" s="419"/>
      <c r="F282" s="419"/>
      <c r="G282" s="419"/>
      <c r="H282" s="419"/>
    </row>
    <row r="283" spans="1:8" x14ac:dyDescent="0.25">
      <c r="A283" s="466">
        <v>279</v>
      </c>
      <c r="B283" s="461" t="s">
        <v>909</v>
      </c>
      <c r="C283" s="474" t="s">
        <v>910</v>
      </c>
      <c r="D283" s="419"/>
      <c r="E283" s="419"/>
      <c r="F283" s="419"/>
      <c r="G283" s="419"/>
      <c r="H283" s="419"/>
    </row>
    <row r="284" spans="1:8" x14ac:dyDescent="0.25">
      <c r="A284" s="466">
        <v>280</v>
      </c>
      <c r="B284" s="467" t="s">
        <v>911</v>
      </c>
      <c r="C284" s="467" t="s">
        <v>342</v>
      </c>
      <c r="D284" s="419"/>
      <c r="E284" s="419"/>
      <c r="F284" s="419"/>
      <c r="G284" s="419"/>
      <c r="H284" s="419"/>
    </row>
    <row r="285" spans="1:8" x14ac:dyDescent="0.25">
      <c r="A285" s="466">
        <v>281</v>
      </c>
      <c r="B285" s="461" t="s">
        <v>912</v>
      </c>
      <c r="C285" s="467" t="s">
        <v>394</v>
      </c>
      <c r="D285" s="419"/>
      <c r="E285" s="419"/>
      <c r="F285" s="419"/>
      <c r="G285" s="419"/>
      <c r="H285" s="419"/>
    </row>
    <row r="286" spans="1:8" x14ac:dyDescent="0.25">
      <c r="A286" s="466">
        <v>282</v>
      </c>
      <c r="B286" s="461" t="s">
        <v>913</v>
      </c>
      <c r="C286" s="467" t="s">
        <v>914</v>
      </c>
      <c r="D286" s="419"/>
      <c r="E286" s="419"/>
      <c r="F286" s="419"/>
      <c r="G286" s="419"/>
      <c r="H286" s="419"/>
    </row>
    <row r="287" spans="1:8" x14ac:dyDescent="0.25">
      <c r="A287" s="466">
        <v>283</v>
      </c>
      <c r="B287" s="461" t="s">
        <v>915</v>
      </c>
      <c r="C287" s="467" t="s">
        <v>916</v>
      </c>
      <c r="D287" s="419"/>
      <c r="E287" s="419"/>
      <c r="F287" s="419"/>
      <c r="G287" s="419"/>
      <c r="H287" s="419"/>
    </row>
    <row r="288" spans="1:8" x14ac:dyDescent="0.25">
      <c r="A288" s="466">
        <v>284</v>
      </c>
      <c r="B288" s="461" t="s">
        <v>401</v>
      </c>
      <c r="C288" s="467" t="s">
        <v>402</v>
      </c>
      <c r="D288" s="419"/>
      <c r="E288" s="419"/>
      <c r="F288" s="419"/>
      <c r="G288" s="419"/>
      <c r="H288" s="419"/>
    </row>
    <row r="289" spans="1:8" x14ac:dyDescent="0.25">
      <c r="A289" s="466">
        <v>285</v>
      </c>
      <c r="B289" s="461" t="s">
        <v>917</v>
      </c>
      <c r="C289" s="467" t="s">
        <v>918</v>
      </c>
      <c r="D289" s="419"/>
      <c r="E289" s="419"/>
      <c r="F289" s="419"/>
      <c r="G289" s="419"/>
      <c r="H289" s="419"/>
    </row>
    <row r="290" spans="1:8" x14ac:dyDescent="0.25">
      <c r="A290" s="466">
        <v>286</v>
      </c>
      <c r="B290" s="461" t="s">
        <v>919</v>
      </c>
      <c r="C290" s="467" t="s">
        <v>920</v>
      </c>
      <c r="D290" s="419"/>
      <c r="E290" s="419"/>
      <c r="F290" s="419"/>
      <c r="G290" s="419"/>
      <c r="H290" s="419"/>
    </row>
    <row r="291" spans="1:8" x14ac:dyDescent="0.25">
      <c r="A291" s="466">
        <v>287</v>
      </c>
      <c r="B291" s="461" t="s">
        <v>921</v>
      </c>
      <c r="C291" s="467" t="s">
        <v>922</v>
      </c>
      <c r="D291" s="419"/>
      <c r="E291" s="419"/>
      <c r="F291" s="419"/>
      <c r="G291" s="419"/>
      <c r="H291" s="419"/>
    </row>
    <row r="292" spans="1:8" x14ac:dyDescent="0.25">
      <c r="A292" s="466">
        <v>288</v>
      </c>
      <c r="B292" s="461" t="s">
        <v>923</v>
      </c>
      <c r="C292" s="467" t="s">
        <v>924</v>
      </c>
      <c r="D292" s="419"/>
      <c r="E292" s="419"/>
      <c r="F292" s="419"/>
      <c r="G292" s="419"/>
      <c r="H292" s="419"/>
    </row>
    <row r="293" spans="1:8" x14ac:dyDescent="0.25">
      <c r="A293" s="466">
        <v>289</v>
      </c>
      <c r="B293" s="467" t="s">
        <v>925</v>
      </c>
      <c r="C293" s="467" t="s">
        <v>398</v>
      </c>
      <c r="D293" s="419"/>
      <c r="E293" s="419"/>
      <c r="F293" s="419"/>
      <c r="G293" s="419"/>
      <c r="H293" s="419"/>
    </row>
    <row r="294" spans="1:8" x14ac:dyDescent="0.25">
      <c r="A294" s="466">
        <v>290</v>
      </c>
      <c r="B294" s="461" t="s">
        <v>926</v>
      </c>
      <c r="C294" s="467" t="s">
        <v>927</v>
      </c>
      <c r="D294" s="419"/>
      <c r="E294" s="419"/>
      <c r="F294" s="419"/>
      <c r="G294" s="419"/>
      <c r="H294" s="419"/>
    </row>
    <row r="295" spans="1:8" x14ac:dyDescent="0.25">
      <c r="A295" s="466">
        <v>291</v>
      </c>
      <c r="B295" s="461" t="s">
        <v>928</v>
      </c>
      <c r="C295" s="467" t="s">
        <v>397</v>
      </c>
      <c r="D295" s="419"/>
      <c r="E295" s="419"/>
      <c r="F295" s="419"/>
      <c r="G295" s="419"/>
      <c r="H295" s="419"/>
    </row>
    <row r="296" spans="1:8" x14ac:dyDescent="0.25">
      <c r="A296" s="466">
        <v>292</v>
      </c>
      <c r="B296" s="461" t="s">
        <v>929</v>
      </c>
      <c r="C296" s="467" t="s">
        <v>761</v>
      </c>
      <c r="D296" s="419"/>
      <c r="E296" s="419"/>
      <c r="F296" s="419"/>
      <c r="G296" s="419"/>
      <c r="H296" s="419"/>
    </row>
    <row r="297" spans="1:8" x14ac:dyDescent="0.25">
      <c r="A297" s="466">
        <v>293</v>
      </c>
      <c r="B297" s="461" t="s">
        <v>930</v>
      </c>
      <c r="C297" s="467" t="s">
        <v>931</v>
      </c>
      <c r="D297" s="419"/>
      <c r="E297" s="419"/>
      <c r="F297" s="419"/>
      <c r="G297" s="419"/>
      <c r="H297" s="419"/>
    </row>
    <row r="298" spans="1:8" x14ac:dyDescent="0.25">
      <c r="A298" s="466">
        <v>294</v>
      </c>
      <c r="B298" s="461" t="s">
        <v>395</v>
      </c>
      <c r="C298" s="467" t="s">
        <v>396</v>
      </c>
      <c r="D298" s="419"/>
      <c r="E298" s="419"/>
      <c r="F298" s="419"/>
      <c r="G298" s="419"/>
      <c r="H298" s="419"/>
    </row>
    <row r="299" spans="1:8" x14ac:dyDescent="0.25">
      <c r="A299" s="466">
        <v>295</v>
      </c>
      <c r="B299" s="461" t="s">
        <v>932</v>
      </c>
      <c r="C299" s="467" t="s">
        <v>933</v>
      </c>
      <c r="D299" s="419"/>
      <c r="E299" s="419"/>
      <c r="F299" s="419"/>
      <c r="G299" s="419"/>
      <c r="H299" s="419"/>
    </row>
    <row r="300" spans="1:8" x14ac:dyDescent="0.25">
      <c r="A300" s="466">
        <v>296</v>
      </c>
      <c r="B300" s="461" t="s">
        <v>934</v>
      </c>
      <c r="C300" s="467" t="s">
        <v>935</v>
      </c>
      <c r="D300" s="419"/>
      <c r="E300" s="419"/>
      <c r="F300" s="419"/>
      <c r="G300" s="419"/>
      <c r="H300" s="419"/>
    </row>
    <row r="301" spans="1:8" x14ac:dyDescent="0.25">
      <c r="A301" s="466">
        <v>297</v>
      </c>
      <c r="B301" s="461" t="s">
        <v>936</v>
      </c>
      <c r="C301" s="467" t="s">
        <v>937</v>
      </c>
      <c r="D301" s="419"/>
      <c r="E301" s="419"/>
      <c r="F301" s="419"/>
      <c r="G301" s="419"/>
      <c r="H301" s="419"/>
    </row>
    <row r="302" spans="1:8" x14ac:dyDescent="0.25">
      <c r="A302" s="466">
        <v>298</v>
      </c>
      <c r="B302" s="461" t="s">
        <v>938</v>
      </c>
      <c r="C302" s="467" t="s">
        <v>400</v>
      </c>
      <c r="D302" s="419"/>
      <c r="E302" s="419"/>
      <c r="F302" s="419"/>
      <c r="G302" s="419"/>
      <c r="H302" s="419"/>
    </row>
    <row r="303" spans="1:8" x14ac:dyDescent="0.25">
      <c r="A303" s="466">
        <v>299</v>
      </c>
      <c r="B303" s="461" t="s">
        <v>939</v>
      </c>
      <c r="C303" s="467" t="s">
        <v>399</v>
      </c>
      <c r="D303" s="419"/>
      <c r="E303" s="419"/>
      <c r="F303" s="419"/>
      <c r="G303" s="419"/>
      <c r="H303" s="419"/>
    </row>
    <row r="304" spans="1:8" x14ac:dyDescent="0.25">
      <c r="A304" s="466">
        <v>300</v>
      </c>
      <c r="B304" s="461" t="s">
        <v>940</v>
      </c>
      <c r="C304" s="467" t="s">
        <v>941</v>
      </c>
      <c r="D304" s="419"/>
      <c r="E304" s="419"/>
      <c r="F304" s="419"/>
      <c r="G304" s="419"/>
      <c r="H304" s="419"/>
    </row>
    <row r="305" spans="1:8" x14ac:dyDescent="0.25">
      <c r="A305" s="466">
        <v>301</v>
      </c>
      <c r="B305" s="461" t="s">
        <v>942</v>
      </c>
      <c r="C305" s="467" t="s">
        <v>403</v>
      </c>
      <c r="D305" s="419"/>
      <c r="E305" s="419"/>
      <c r="F305" s="419"/>
      <c r="G305" s="419"/>
      <c r="H305" s="419"/>
    </row>
    <row r="306" spans="1:8" x14ac:dyDescent="0.25">
      <c r="A306" s="466">
        <v>302</v>
      </c>
      <c r="B306" s="467" t="s">
        <v>943</v>
      </c>
      <c r="C306" s="468" t="s">
        <v>944</v>
      </c>
      <c r="D306" s="419"/>
      <c r="E306" s="419"/>
      <c r="F306" s="419"/>
      <c r="G306" s="419"/>
      <c r="H306" s="419"/>
    </row>
    <row r="307" spans="1:8" x14ac:dyDescent="0.25">
      <c r="A307" s="466">
        <v>303</v>
      </c>
      <c r="B307" s="461" t="s">
        <v>945</v>
      </c>
      <c r="C307" s="467" t="s">
        <v>946</v>
      </c>
      <c r="D307" s="419"/>
      <c r="E307" s="419"/>
      <c r="F307" s="419"/>
      <c r="G307" s="419"/>
      <c r="H307" s="419"/>
    </row>
    <row r="308" spans="1:8" x14ac:dyDescent="0.25">
      <c r="A308" s="466">
        <v>304</v>
      </c>
      <c r="B308" s="461" t="s">
        <v>404</v>
      </c>
      <c r="C308" s="467" t="s">
        <v>947</v>
      </c>
      <c r="D308" s="419"/>
      <c r="E308" s="419"/>
      <c r="F308" s="419"/>
      <c r="G308" s="419"/>
      <c r="H308" s="419"/>
    </row>
    <row r="309" spans="1:8" x14ac:dyDescent="0.25">
      <c r="A309" s="466">
        <v>305</v>
      </c>
      <c r="B309" s="461" t="s">
        <v>948</v>
      </c>
      <c r="C309" s="467" t="s">
        <v>405</v>
      </c>
      <c r="D309" s="419"/>
      <c r="E309" s="419"/>
      <c r="F309" s="419"/>
      <c r="G309" s="419"/>
      <c r="H309" s="419"/>
    </row>
    <row r="310" spans="1:8" x14ac:dyDescent="0.25">
      <c r="A310" s="466">
        <v>306</v>
      </c>
      <c r="B310" s="461" t="s">
        <v>949</v>
      </c>
      <c r="C310" s="467" t="s">
        <v>267</v>
      </c>
      <c r="D310" s="419"/>
      <c r="E310" s="419"/>
      <c r="F310" s="419"/>
      <c r="G310" s="419"/>
      <c r="H310" s="419"/>
    </row>
    <row r="311" spans="1:8" x14ac:dyDescent="0.25">
      <c r="A311" s="466">
        <v>307</v>
      </c>
      <c r="B311" s="461" t="s">
        <v>950</v>
      </c>
      <c r="C311" s="467" t="s">
        <v>397</v>
      </c>
      <c r="D311" s="419"/>
      <c r="E311" s="419"/>
      <c r="F311" s="419"/>
      <c r="G311" s="419"/>
      <c r="H311" s="419"/>
    </row>
    <row r="312" spans="1:8" x14ac:dyDescent="0.25">
      <c r="A312" s="466">
        <v>308</v>
      </c>
      <c r="B312" s="461" t="s">
        <v>951</v>
      </c>
      <c r="C312" s="467" t="s">
        <v>952</v>
      </c>
      <c r="D312" s="419"/>
      <c r="E312" s="419"/>
      <c r="F312" s="419"/>
      <c r="G312" s="419"/>
      <c r="H312" s="419"/>
    </row>
    <row r="313" spans="1:8" x14ac:dyDescent="0.25">
      <c r="A313" s="466">
        <v>309</v>
      </c>
      <c r="B313" s="461" t="s">
        <v>953</v>
      </c>
      <c r="C313" s="467" t="s">
        <v>954</v>
      </c>
      <c r="D313" s="419"/>
      <c r="E313" s="419"/>
      <c r="F313" s="419"/>
      <c r="G313" s="419"/>
      <c r="H313" s="419"/>
    </row>
    <row r="314" spans="1:8" x14ac:dyDescent="0.25">
      <c r="A314" s="466">
        <v>310</v>
      </c>
      <c r="B314" s="461" t="s">
        <v>955</v>
      </c>
      <c r="C314" s="467" t="s">
        <v>956</v>
      </c>
      <c r="D314" s="419"/>
      <c r="E314" s="419"/>
      <c r="F314" s="419"/>
      <c r="G314" s="419"/>
      <c r="H314" s="419"/>
    </row>
    <row r="315" spans="1:8" x14ac:dyDescent="0.25">
      <c r="A315" s="466">
        <v>311</v>
      </c>
      <c r="B315" s="461" t="s">
        <v>957</v>
      </c>
      <c r="C315" s="467" t="s">
        <v>958</v>
      </c>
      <c r="D315" s="419"/>
      <c r="E315" s="419"/>
      <c r="F315" s="419"/>
      <c r="G315" s="419"/>
      <c r="H315" s="419"/>
    </row>
    <row r="316" spans="1:8" ht="26.4" x14ac:dyDescent="0.25">
      <c r="A316" s="466">
        <v>312</v>
      </c>
      <c r="B316" s="461" t="s">
        <v>959</v>
      </c>
      <c r="C316" s="467" t="s">
        <v>960</v>
      </c>
      <c r="D316" s="419"/>
      <c r="E316" s="419"/>
      <c r="F316" s="419"/>
      <c r="G316" s="419"/>
      <c r="H316" s="419"/>
    </row>
    <row r="317" spans="1:8" x14ac:dyDescent="0.25">
      <c r="A317" s="466">
        <v>313</v>
      </c>
      <c r="B317" s="461" t="s">
        <v>961</v>
      </c>
      <c r="C317" s="467" t="s">
        <v>962</v>
      </c>
      <c r="D317" s="419"/>
      <c r="E317" s="419"/>
      <c r="F317" s="419"/>
      <c r="G317" s="419"/>
      <c r="H317" s="419"/>
    </row>
    <row r="318" spans="1:8" x14ac:dyDescent="0.25">
      <c r="A318" s="466">
        <v>314</v>
      </c>
      <c r="B318" s="461" t="s">
        <v>963</v>
      </c>
      <c r="C318" s="467" t="s">
        <v>388</v>
      </c>
      <c r="D318" s="419"/>
      <c r="E318" s="419"/>
      <c r="F318" s="419"/>
      <c r="G318" s="419"/>
      <c r="H318" s="419"/>
    </row>
    <row r="319" spans="1:8" x14ac:dyDescent="0.25">
      <c r="A319" s="466">
        <v>315</v>
      </c>
      <c r="B319" s="461" t="s">
        <v>964</v>
      </c>
      <c r="C319" s="467" t="s">
        <v>312</v>
      </c>
      <c r="D319" s="419"/>
      <c r="E319" s="419"/>
      <c r="F319" s="419"/>
      <c r="G319" s="419"/>
      <c r="H319" s="419"/>
    </row>
    <row r="320" spans="1:8" x14ac:dyDescent="0.25">
      <c r="A320" s="466">
        <v>316</v>
      </c>
      <c r="B320" s="461" t="s">
        <v>965</v>
      </c>
      <c r="C320" s="467" t="s">
        <v>406</v>
      </c>
      <c r="D320" s="419"/>
      <c r="E320" s="419"/>
      <c r="F320" s="419"/>
      <c r="G320" s="419"/>
      <c r="H320" s="419"/>
    </row>
    <row r="321" spans="1:8" x14ac:dyDescent="0.25">
      <c r="A321" s="466">
        <v>317</v>
      </c>
      <c r="B321" s="461" t="s">
        <v>966</v>
      </c>
      <c r="C321" s="467" t="s">
        <v>967</v>
      </c>
      <c r="D321" s="419"/>
      <c r="E321" s="419"/>
      <c r="F321" s="419"/>
      <c r="G321" s="419"/>
      <c r="H321" s="419"/>
    </row>
    <row r="322" spans="1:8" ht="26.4" x14ac:dyDescent="0.25">
      <c r="A322" s="466">
        <v>318</v>
      </c>
      <c r="B322" s="461" t="s">
        <v>968</v>
      </c>
      <c r="C322" s="467" t="s">
        <v>408</v>
      </c>
      <c r="D322" s="419"/>
      <c r="E322" s="419"/>
      <c r="F322" s="419"/>
      <c r="G322" s="419"/>
      <c r="H322" s="419"/>
    </row>
    <row r="323" spans="1:8" x14ac:dyDescent="0.25">
      <c r="A323" s="466">
        <v>319</v>
      </c>
      <c r="B323" s="461" t="s">
        <v>969</v>
      </c>
      <c r="C323" s="467" t="s">
        <v>970</v>
      </c>
      <c r="D323" s="419"/>
      <c r="E323" s="419"/>
      <c r="F323" s="419"/>
      <c r="G323" s="419"/>
      <c r="H323" s="419"/>
    </row>
    <row r="324" spans="1:8" x14ac:dyDescent="0.25">
      <c r="A324" s="466">
        <v>320</v>
      </c>
      <c r="B324" s="461" t="s">
        <v>971</v>
      </c>
      <c r="C324" s="467" t="s">
        <v>407</v>
      </c>
      <c r="D324" s="419"/>
      <c r="E324" s="419"/>
      <c r="F324" s="419"/>
      <c r="G324" s="419"/>
      <c r="H324" s="419"/>
    </row>
    <row r="325" spans="1:8" x14ac:dyDescent="0.25">
      <c r="A325" s="466">
        <v>321</v>
      </c>
      <c r="B325" s="461" t="s">
        <v>972</v>
      </c>
      <c r="C325" s="467" t="s">
        <v>973</v>
      </c>
      <c r="D325" s="419"/>
      <c r="E325" s="419"/>
      <c r="F325" s="419"/>
      <c r="G325" s="419"/>
      <c r="H325" s="419"/>
    </row>
    <row r="326" spans="1:8" x14ac:dyDescent="0.25">
      <c r="A326" s="466">
        <v>322</v>
      </c>
      <c r="B326" s="461" t="s">
        <v>974</v>
      </c>
      <c r="C326" s="467" t="s">
        <v>975</v>
      </c>
      <c r="D326" s="419"/>
      <c r="E326" s="419"/>
      <c r="F326" s="419"/>
      <c r="G326" s="419"/>
      <c r="H326" s="419"/>
    </row>
    <row r="327" spans="1:8" x14ac:dyDescent="0.25">
      <c r="A327" s="466">
        <v>323</v>
      </c>
      <c r="B327" s="461" t="s">
        <v>976</v>
      </c>
      <c r="C327" s="467" t="s">
        <v>411</v>
      </c>
      <c r="D327" s="419"/>
      <c r="E327" s="419"/>
      <c r="F327" s="419"/>
      <c r="G327" s="419"/>
      <c r="H327" s="419"/>
    </row>
    <row r="328" spans="1:8" x14ac:dyDescent="0.25">
      <c r="A328" s="466">
        <v>324</v>
      </c>
      <c r="B328" s="461" t="s">
        <v>977</v>
      </c>
      <c r="C328" s="467" t="s">
        <v>978</v>
      </c>
      <c r="D328" s="419"/>
      <c r="E328" s="419"/>
      <c r="F328" s="419"/>
      <c r="G328" s="419"/>
      <c r="H328" s="419"/>
    </row>
    <row r="329" spans="1:8" x14ac:dyDescent="0.25">
      <c r="A329" s="466">
        <v>325</v>
      </c>
      <c r="B329" s="461" t="s">
        <v>979</v>
      </c>
      <c r="C329" s="467" t="s">
        <v>980</v>
      </c>
      <c r="D329" s="419"/>
      <c r="E329" s="419"/>
      <c r="F329" s="419"/>
      <c r="G329" s="419"/>
      <c r="H329" s="419"/>
    </row>
    <row r="330" spans="1:8" x14ac:dyDescent="0.25">
      <c r="A330" s="466">
        <v>326</v>
      </c>
      <c r="B330" s="461" t="s">
        <v>409</v>
      </c>
      <c r="C330" s="467" t="s">
        <v>410</v>
      </c>
      <c r="D330" s="419"/>
      <c r="E330" s="419"/>
      <c r="F330" s="419"/>
      <c r="G330" s="419"/>
      <c r="H330" s="419"/>
    </row>
    <row r="331" spans="1:8" x14ac:dyDescent="0.25">
      <c r="A331" s="466">
        <v>327</v>
      </c>
      <c r="B331" s="461" t="s">
        <v>981</v>
      </c>
      <c r="C331" s="470" t="s">
        <v>982</v>
      </c>
      <c r="D331" s="419"/>
      <c r="E331" s="419"/>
      <c r="F331" s="419"/>
      <c r="G331" s="419"/>
      <c r="H331" s="419"/>
    </row>
    <row r="332" spans="1:8" x14ac:dyDescent="0.25">
      <c r="A332" s="466">
        <v>328</v>
      </c>
      <c r="B332" s="461" t="s">
        <v>983</v>
      </c>
      <c r="C332" s="467" t="s">
        <v>984</v>
      </c>
      <c r="D332" s="419"/>
      <c r="E332" s="419"/>
      <c r="F332" s="419"/>
      <c r="G332" s="419"/>
      <c r="H332" s="419"/>
    </row>
    <row r="333" spans="1:8" x14ac:dyDescent="0.25">
      <c r="A333" s="466">
        <v>329</v>
      </c>
      <c r="B333" s="461" t="s">
        <v>415</v>
      </c>
      <c r="C333" s="467" t="s">
        <v>416</v>
      </c>
      <c r="D333" s="419"/>
      <c r="E333" s="419"/>
      <c r="F333" s="419"/>
      <c r="G333" s="419"/>
      <c r="H333" s="419"/>
    </row>
    <row r="334" spans="1:8" x14ac:dyDescent="0.25">
      <c r="A334" s="466">
        <v>330</v>
      </c>
      <c r="B334" s="467" t="s">
        <v>985</v>
      </c>
      <c r="C334" s="467" t="s">
        <v>283</v>
      </c>
      <c r="D334" s="419"/>
      <c r="E334" s="419"/>
      <c r="F334" s="419"/>
      <c r="G334" s="419"/>
      <c r="H334" s="419"/>
    </row>
    <row r="335" spans="1:8" x14ac:dyDescent="0.25">
      <c r="A335" s="466">
        <v>331</v>
      </c>
      <c r="B335" s="467" t="s">
        <v>986</v>
      </c>
      <c r="C335" s="467" t="s">
        <v>987</v>
      </c>
      <c r="D335" s="419"/>
      <c r="E335" s="419"/>
      <c r="F335" s="419"/>
      <c r="G335" s="419"/>
      <c r="H335" s="419"/>
    </row>
    <row r="336" spans="1:8" x14ac:dyDescent="0.25">
      <c r="A336" s="466">
        <v>332</v>
      </c>
      <c r="B336" s="467" t="s">
        <v>412</v>
      </c>
      <c r="C336" s="467" t="s">
        <v>413</v>
      </c>
      <c r="D336" s="419"/>
      <c r="E336" s="419"/>
      <c r="F336" s="419"/>
      <c r="G336" s="419"/>
      <c r="H336" s="419"/>
    </row>
    <row r="337" spans="1:3" x14ac:dyDescent="0.25">
      <c r="A337" s="466">
        <v>333</v>
      </c>
      <c r="B337" s="461" t="s">
        <v>988</v>
      </c>
      <c r="C337" s="467" t="s">
        <v>414</v>
      </c>
    </row>
    <row r="338" spans="1:3" ht="26.4" x14ac:dyDescent="0.25">
      <c r="A338" s="466">
        <v>334</v>
      </c>
      <c r="B338" s="461" t="s">
        <v>989</v>
      </c>
      <c r="C338" s="470" t="s">
        <v>990</v>
      </c>
    </row>
    <row r="339" spans="1:3" x14ac:dyDescent="0.25">
      <c r="A339" s="466">
        <v>335</v>
      </c>
      <c r="B339" s="461" t="s">
        <v>991</v>
      </c>
      <c r="C339" s="467" t="s">
        <v>428</v>
      </c>
    </row>
    <row r="340" spans="1:3" x14ac:dyDescent="0.25">
      <c r="A340" s="466">
        <v>336</v>
      </c>
      <c r="B340" s="461" t="s">
        <v>992</v>
      </c>
      <c r="C340" s="467" t="s">
        <v>993</v>
      </c>
    </row>
    <row r="341" spans="1:3" x14ac:dyDescent="0.25">
      <c r="A341" s="466">
        <v>337</v>
      </c>
      <c r="B341" s="461" t="s">
        <v>994</v>
      </c>
      <c r="C341" s="467" t="s">
        <v>425</v>
      </c>
    </row>
    <row r="342" spans="1:3" x14ac:dyDescent="0.25">
      <c r="A342" s="466">
        <v>338</v>
      </c>
      <c r="B342" s="461" t="s">
        <v>424</v>
      </c>
      <c r="C342" s="467" t="s">
        <v>318</v>
      </c>
    </row>
    <row r="343" spans="1:3" x14ac:dyDescent="0.25">
      <c r="A343" s="466">
        <v>339</v>
      </c>
      <c r="B343" s="461" t="s">
        <v>419</v>
      </c>
      <c r="C343" s="467" t="s">
        <v>420</v>
      </c>
    </row>
    <row r="344" spans="1:3" x14ac:dyDescent="0.25">
      <c r="A344" s="466">
        <v>340</v>
      </c>
      <c r="B344" s="461" t="s">
        <v>995</v>
      </c>
      <c r="C344" s="467" t="s">
        <v>426</v>
      </c>
    </row>
    <row r="345" spans="1:3" x14ac:dyDescent="0.25">
      <c r="A345" s="466">
        <v>341</v>
      </c>
      <c r="B345" s="461" t="s">
        <v>996</v>
      </c>
      <c r="C345" s="467" t="s">
        <v>417</v>
      </c>
    </row>
    <row r="346" spans="1:3" x14ac:dyDescent="0.25">
      <c r="A346" s="466">
        <v>342</v>
      </c>
      <c r="B346" s="461" t="s">
        <v>418</v>
      </c>
      <c r="C346" s="467" t="s">
        <v>997</v>
      </c>
    </row>
    <row r="347" spans="1:3" x14ac:dyDescent="0.25">
      <c r="A347" s="466">
        <v>343</v>
      </c>
      <c r="B347" s="461" t="s">
        <v>998</v>
      </c>
      <c r="C347" s="467" t="s">
        <v>258</v>
      </c>
    </row>
    <row r="348" spans="1:3" x14ac:dyDescent="0.25">
      <c r="A348" s="466">
        <v>344</v>
      </c>
      <c r="B348" s="461" t="s">
        <v>999</v>
      </c>
      <c r="C348" s="467" t="s">
        <v>311</v>
      </c>
    </row>
    <row r="349" spans="1:3" x14ac:dyDescent="0.25">
      <c r="A349" s="466">
        <v>345</v>
      </c>
      <c r="B349" s="461" t="s">
        <v>1000</v>
      </c>
      <c r="C349" s="467" t="s">
        <v>1001</v>
      </c>
    </row>
    <row r="350" spans="1:3" x14ac:dyDescent="0.25">
      <c r="A350" s="466">
        <v>346</v>
      </c>
      <c r="B350" s="461" t="s">
        <v>421</v>
      </c>
      <c r="C350" s="467" t="s">
        <v>1002</v>
      </c>
    </row>
    <row r="351" spans="1:3" x14ac:dyDescent="0.25">
      <c r="A351" s="466">
        <v>347</v>
      </c>
      <c r="B351" s="461" t="s">
        <v>1003</v>
      </c>
      <c r="C351" s="467" t="s">
        <v>1004</v>
      </c>
    </row>
    <row r="352" spans="1:3" x14ac:dyDescent="0.25">
      <c r="A352" s="466">
        <v>348</v>
      </c>
      <c r="B352" s="461" t="s">
        <v>422</v>
      </c>
      <c r="C352" s="467" t="s">
        <v>423</v>
      </c>
    </row>
    <row r="353" spans="1:3" x14ac:dyDescent="0.25">
      <c r="A353" s="466">
        <v>349</v>
      </c>
      <c r="B353" s="461" t="s">
        <v>427</v>
      </c>
      <c r="C353" s="467" t="s">
        <v>1005</v>
      </c>
    </row>
    <row r="354" spans="1:3" x14ac:dyDescent="0.25">
      <c r="A354" s="466">
        <v>350</v>
      </c>
      <c r="B354" s="461" t="s">
        <v>1006</v>
      </c>
      <c r="C354" s="467" t="s">
        <v>1007</v>
      </c>
    </row>
    <row r="355" spans="1:3" x14ac:dyDescent="0.25">
      <c r="A355" s="466">
        <v>351</v>
      </c>
      <c r="B355" s="461" t="s">
        <v>1008</v>
      </c>
      <c r="C355" s="467" t="s">
        <v>1009</v>
      </c>
    </row>
    <row r="356" spans="1:3" x14ac:dyDescent="0.25">
      <c r="A356" s="466">
        <v>352</v>
      </c>
      <c r="B356" s="461" t="s">
        <v>1010</v>
      </c>
      <c r="C356" s="467" t="s">
        <v>429</v>
      </c>
    </row>
    <row r="357" spans="1:3" x14ac:dyDescent="0.25">
      <c r="A357" s="466">
        <v>353</v>
      </c>
      <c r="B357" s="461" t="s">
        <v>432</v>
      </c>
      <c r="C357" s="467" t="s">
        <v>433</v>
      </c>
    </row>
    <row r="358" spans="1:3" x14ac:dyDescent="0.25">
      <c r="A358" s="466">
        <v>354</v>
      </c>
      <c r="B358" s="461" t="s">
        <v>1011</v>
      </c>
      <c r="C358" s="461" t="s">
        <v>431</v>
      </c>
    </row>
    <row r="359" spans="1:3" x14ac:dyDescent="0.25">
      <c r="A359" s="466">
        <v>355</v>
      </c>
      <c r="B359" s="461" t="s">
        <v>1012</v>
      </c>
      <c r="C359" s="461" t="s">
        <v>1013</v>
      </c>
    </row>
    <row r="360" spans="1:3" x14ac:dyDescent="0.25">
      <c r="A360" s="466">
        <v>356</v>
      </c>
      <c r="B360" s="461" t="s">
        <v>1014</v>
      </c>
      <c r="C360" s="461" t="s">
        <v>430</v>
      </c>
    </row>
    <row r="361" spans="1:3" x14ac:dyDescent="0.25">
      <c r="A361" s="466">
        <v>357</v>
      </c>
      <c r="B361" s="461" t="s">
        <v>1015</v>
      </c>
      <c r="C361" s="461" t="s">
        <v>1016</v>
      </c>
    </row>
    <row r="362" spans="1:3" x14ac:dyDescent="0.25">
      <c r="A362" s="466">
        <v>358</v>
      </c>
      <c r="B362" s="461" t="s">
        <v>1017</v>
      </c>
      <c r="C362" s="461" t="s">
        <v>624</v>
      </c>
    </row>
    <row r="363" spans="1:3" x14ac:dyDescent="0.25">
      <c r="A363" s="466">
        <v>359</v>
      </c>
      <c r="B363" s="461" t="s">
        <v>1018</v>
      </c>
      <c r="C363" s="461" t="s">
        <v>1019</v>
      </c>
    </row>
    <row r="364" spans="1:3" x14ac:dyDescent="0.25">
      <c r="A364" s="466">
        <v>360</v>
      </c>
      <c r="B364" s="461" t="s">
        <v>1020</v>
      </c>
      <c r="C364" s="461" t="s">
        <v>1021</v>
      </c>
    </row>
    <row r="365" spans="1:3" x14ac:dyDescent="0.25">
      <c r="A365" s="466">
        <v>361</v>
      </c>
      <c r="B365" s="461" t="s">
        <v>1022</v>
      </c>
      <c r="C365" s="461" t="s">
        <v>434</v>
      </c>
    </row>
    <row r="366" spans="1:3" x14ac:dyDescent="0.25">
      <c r="A366" s="466">
        <v>362</v>
      </c>
      <c r="B366" s="461" t="s">
        <v>1023</v>
      </c>
      <c r="C366" s="461" t="s">
        <v>435</v>
      </c>
    </row>
    <row r="367" spans="1:3" x14ac:dyDescent="0.25">
      <c r="A367" s="466">
        <v>363</v>
      </c>
      <c r="B367" s="461" t="s">
        <v>1024</v>
      </c>
      <c r="C367" s="461" t="s">
        <v>528</v>
      </c>
    </row>
    <row r="368" spans="1:3" x14ac:dyDescent="0.25">
      <c r="A368" s="466">
        <v>364</v>
      </c>
      <c r="B368" s="461" t="s">
        <v>1025</v>
      </c>
      <c r="C368" s="461" t="s">
        <v>1026</v>
      </c>
    </row>
    <row r="369" spans="1:3" x14ac:dyDescent="0.25">
      <c r="A369" s="466">
        <v>365</v>
      </c>
      <c r="B369" s="475" t="s">
        <v>1027</v>
      </c>
      <c r="C369" s="475" t="s">
        <v>528</v>
      </c>
    </row>
    <row r="370" spans="1:3" x14ac:dyDescent="0.25">
      <c r="A370" s="466">
        <v>366</v>
      </c>
      <c r="B370" s="467"/>
      <c r="C370" s="467"/>
    </row>
    <row r="371" spans="1:3" x14ac:dyDescent="0.25">
      <c r="A371" s="466">
        <v>367</v>
      </c>
      <c r="B371" s="467"/>
      <c r="C371" s="467"/>
    </row>
    <row r="372" spans="1:3" x14ac:dyDescent="0.25">
      <c r="A372" s="466">
        <v>368</v>
      </c>
      <c r="B372" s="467"/>
      <c r="C372" s="467"/>
    </row>
    <row r="373" spans="1:3" x14ac:dyDescent="0.25">
      <c r="A373" s="466">
        <v>369</v>
      </c>
      <c r="B373" s="467"/>
      <c r="C373" s="467"/>
    </row>
    <row r="374" spans="1:3" x14ac:dyDescent="0.25">
      <c r="A374" s="466">
        <v>370</v>
      </c>
      <c r="B374" s="467"/>
      <c r="C374" s="467"/>
    </row>
    <row r="375" spans="1:3" x14ac:dyDescent="0.25">
      <c r="A375" s="466">
        <v>371</v>
      </c>
      <c r="B375" s="467"/>
      <c r="C375" s="467"/>
    </row>
    <row r="376" spans="1:3" x14ac:dyDescent="0.25">
      <c r="A376" s="466">
        <v>372</v>
      </c>
      <c r="B376" s="467"/>
      <c r="C376" s="467"/>
    </row>
    <row r="377" spans="1:3" x14ac:dyDescent="0.25">
      <c r="A377" s="466">
        <v>373</v>
      </c>
      <c r="B377" s="467"/>
      <c r="C377" s="467"/>
    </row>
    <row r="378" spans="1:3" x14ac:dyDescent="0.25">
      <c r="A378" s="466">
        <v>374</v>
      </c>
      <c r="B378" s="467"/>
      <c r="C378" s="467"/>
    </row>
    <row r="379" spans="1:3" x14ac:dyDescent="0.25">
      <c r="A379" s="466">
        <v>375</v>
      </c>
      <c r="B379" s="467"/>
      <c r="C379" s="467"/>
    </row>
    <row r="380" spans="1:3" x14ac:dyDescent="0.25">
      <c r="A380" s="466">
        <v>376</v>
      </c>
      <c r="B380" s="467"/>
      <c r="C380" s="467"/>
    </row>
    <row r="381" spans="1:3" x14ac:dyDescent="0.25">
      <c r="A381" s="466">
        <v>377</v>
      </c>
      <c r="B381" s="467"/>
      <c r="C381" s="467"/>
    </row>
    <row r="382" spans="1:3" x14ac:dyDescent="0.25">
      <c r="A382" s="466">
        <v>378</v>
      </c>
      <c r="B382" s="467"/>
      <c r="C382" s="467"/>
    </row>
    <row r="383" spans="1:3" x14ac:dyDescent="0.25">
      <c r="A383" s="466">
        <v>379</v>
      </c>
      <c r="B383" s="467"/>
      <c r="C383" s="467"/>
    </row>
    <row r="384" spans="1:3" x14ac:dyDescent="0.25">
      <c r="A384" s="466">
        <v>380</v>
      </c>
      <c r="B384" s="467"/>
      <c r="C384" s="467"/>
    </row>
    <row r="385" spans="1:3" x14ac:dyDescent="0.25">
      <c r="A385" s="466">
        <v>381</v>
      </c>
      <c r="B385" s="467"/>
      <c r="C385" s="467"/>
    </row>
    <row r="386" spans="1:3" x14ac:dyDescent="0.25">
      <c r="A386" s="466">
        <v>382</v>
      </c>
      <c r="B386" s="467"/>
      <c r="C386" s="467"/>
    </row>
  </sheetData>
  <mergeCells count="2">
    <mergeCell ref="A2:C2"/>
    <mergeCell ref="B3:C3"/>
  </mergeCells>
  <conditionalFormatting sqref="B233:B234">
    <cfRule type="duplicateValues" dxfId="20" priority="18"/>
  </conditionalFormatting>
  <conditionalFormatting sqref="B209:B210">
    <cfRule type="duplicateValues" dxfId="19" priority="17"/>
  </conditionalFormatting>
  <conditionalFormatting sqref="B297">
    <cfRule type="duplicateValues" dxfId="18" priority="16"/>
  </conditionalFormatting>
  <conditionalFormatting sqref="B92">
    <cfRule type="duplicateValues" dxfId="17" priority="15"/>
  </conditionalFormatting>
  <conditionalFormatting sqref="B160">
    <cfRule type="duplicateValues" dxfId="16" priority="14"/>
  </conditionalFormatting>
  <conditionalFormatting sqref="B205">
    <cfRule type="duplicateValues" dxfId="15" priority="13"/>
  </conditionalFormatting>
  <conditionalFormatting sqref="B264">
    <cfRule type="duplicateValues" dxfId="14" priority="12"/>
  </conditionalFormatting>
  <conditionalFormatting sqref="B130:B131">
    <cfRule type="duplicateValues" dxfId="13" priority="11"/>
  </conditionalFormatting>
  <conditionalFormatting sqref="B211:B212">
    <cfRule type="duplicateValues" dxfId="12" priority="10"/>
  </conditionalFormatting>
  <conditionalFormatting sqref="B189">
    <cfRule type="duplicateValues" dxfId="11" priority="9"/>
  </conditionalFormatting>
  <conditionalFormatting sqref="B235">
    <cfRule type="duplicateValues" dxfId="10" priority="8"/>
  </conditionalFormatting>
  <conditionalFormatting sqref="B26">
    <cfRule type="duplicateValues" dxfId="9" priority="7"/>
  </conditionalFormatting>
  <conditionalFormatting sqref="B151">
    <cfRule type="duplicateValues" dxfId="8" priority="6"/>
  </conditionalFormatting>
  <conditionalFormatting sqref="B298:B330 B236:B244 B93:B113 B161:B181 B4:B10 B206:B208 B265:B270 B132:B150 B213:B232 B43:B91 B16:B25 B190:B204 B246:B256 B118:B129 B12:B14 B27:B41 B152:B159 B258:B263 B115:B116 B332:B337 B183:B188 B339:B357 B366:B367 B272:B296">
    <cfRule type="duplicateValues" dxfId="7" priority="19"/>
  </conditionalFormatting>
  <conditionalFormatting sqref="B257">
    <cfRule type="duplicateValues" dxfId="6" priority="5"/>
  </conditionalFormatting>
  <conditionalFormatting sqref="B114">
    <cfRule type="duplicateValues" dxfId="5" priority="4"/>
  </conditionalFormatting>
  <conditionalFormatting sqref="B331">
    <cfRule type="duplicateValues" dxfId="4" priority="3"/>
  </conditionalFormatting>
  <conditionalFormatting sqref="B182">
    <cfRule type="duplicateValues" dxfId="3" priority="2"/>
  </conditionalFormatting>
  <conditionalFormatting sqref="B338">
    <cfRule type="duplicateValues" dxfId="2" priority="1"/>
  </conditionalFormatting>
  <conditionalFormatting sqref="B368:C368">
    <cfRule type="duplicateValues" dxfId="1" priority="20"/>
  </conditionalFormatting>
  <conditionalFormatting sqref="B358:C365">
    <cfRule type="duplicateValues" dxfId="0" priority="21"/>
  </conditionalFormatting>
  <hyperlinks>
    <hyperlink ref="D146" r:id="rId1" xr:uid="{E85D187C-BD09-4734-8AB0-756236E1B0BC}"/>
    <hyperlink ref="B284" r:id="rId2" display="http://www.retecsa.com.ni/" xr:uid="{B816D78E-C076-4D43-A926-178736714AE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7EF7-BA3D-4B07-BDBC-7F5E09C27A8F}">
  <dimension ref="B1:AA104"/>
  <sheetViews>
    <sheetView view="pageLayout" topLeftCell="A55" zoomScaleNormal="85" workbookViewId="0">
      <selection activeCell="L35" sqref="L35:M35"/>
    </sheetView>
  </sheetViews>
  <sheetFormatPr baseColWidth="10" defaultRowHeight="13.2" x14ac:dyDescent="0.25"/>
  <cols>
    <col min="1" max="1" width="3.109375" style="419" customWidth="1"/>
    <col min="2" max="3" width="7.5546875" style="419" customWidth="1"/>
    <col min="4" max="4" width="5.44140625" style="419" customWidth="1"/>
    <col min="5" max="5" width="7.5546875" style="419" customWidth="1"/>
    <col min="6" max="6" width="5.88671875" style="419" customWidth="1"/>
    <col min="7" max="7" width="6" style="419" customWidth="1"/>
    <col min="8" max="10" width="7.5546875" style="419" customWidth="1"/>
    <col min="11" max="11" width="9" style="419" customWidth="1"/>
    <col min="12" max="13" width="7.5546875" style="419" customWidth="1"/>
    <col min="14" max="256" width="8.88671875" style="419" customWidth="1"/>
    <col min="257" max="16384" width="11.5546875" style="419"/>
  </cols>
  <sheetData>
    <row r="1" spans="2:13" x14ac:dyDescent="0.25"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</row>
    <row r="2" spans="2:13" x14ac:dyDescent="0.25"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</row>
    <row r="3" spans="2:13" x14ac:dyDescent="0.25"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</row>
    <row r="4" spans="2:13" x14ac:dyDescent="0.25"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</row>
    <row r="5" spans="2:13" x14ac:dyDescent="0.25"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2:13" ht="19.5" customHeight="1" x14ac:dyDescent="0.25">
      <c r="B6" s="420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2:13" x14ac:dyDescent="0.25"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2:13" x14ac:dyDescent="0.25">
      <c r="B8" s="420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</row>
    <row r="9" spans="2:13" x14ac:dyDescent="0.25">
      <c r="B9" s="421" t="s">
        <v>437</v>
      </c>
      <c r="C9" s="420"/>
      <c r="D9" s="420"/>
      <c r="E9" s="420"/>
      <c r="F9" s="420"/>
      <c r="G9" s="420"/>
      <c r="H9" s="434" t="str">
        <f>Datos!K3</f>
        <v>NI-MC-V-XXX-2020</v>
      </c>
      <c r="I9" s="420"/>
      <c r="J9" s="420"/>
      <c r="K9" s="420"/>
      <c r="L9" s="420"/>
      <c r="M9" s="420"/>
    </row>
    <row r="10" spans="2:13" x14ac:dyDescent="0.25">
      <c r="B10" s="421" t="s">
        <v>438</v>
      </c>
      <c r="C10" s="420"/>
      <c r="D10" s="420"/>
      <c r="E10" s="420"/>
      <c r="F10" s="420"/>
      <c r="G10" s="420"/>
      <c r="H10" s="423" t="str">
        <f>Datos!G3</f>
        <v>NI-CS-0126-20</v>
      </c>
      <c r="I10" s="420"/>
      <c r="J10" s="420"/>
      <c r="K10" s="420"/>
      <c r="L10" s="420"/>
      <c r="M10" s="420"/>
    </row>
    <row r="11" spans="2:13" x14ac:dyDescent="0.25">
      <c r="B11" s="421" t="s">
        <v>439</v>
      </c>
      <c r="C11" s="420"/>
      <c r="D11" s="420"/>
      <c r="E11" s="420"/>
      <c r="F11" s="420"/>
      <c r="G11" s="420"/>
      <c r="H11" s="649">
        <f>Datos!D3</f>
        <v>45509</v>
      </c>
      <c r="I11" s="649"/>
      <c r="J11" s="420"/>
      <c r="K11" s="420"/>
      <c r="L11" s="420"/>
      <c r="M11" s="420"/>
    </row>
    <row r="12" spans="2:13" x14ac:dyDescent="0.25">
      <c r="B12" s="421" t="s">
        <v>490</v>
      </c>
      <c r="C12" s="420"/>
      <c r="D12" s="420"/>
      <c r="E12" s="420"/>
      <c r="F12" s="420"/>
      <c r="G12" s="420"/>
      <c r="H12" s="639"/>
      <c r="I12" s="639"/>
      <c r="J12" s="420"/>
      <c r="K12" s="420"/>
      <c r="L12" s="420"/>
      <c r="M12" s="420"/>
    </row>
    <row r="13" spans="2:13" x14ac:dyDescent="0.25">
      <c r="B13" s="421" t="s">
        <v>440</v>
      </c>
      <c r="C13" s="420"/>
      <c r="D13" s="420"/>
      <c r="E13" s="420"/>
      <c r="F13" s="420"/>
      <c r="G13" s="420"/>
      <c r="H13" s="649">
        <f ca="1">NOW()</f>
        <v>45510.703259490743</v>
      </c>
      <c r="I13" s="649"/>
      <c r="J13" s="420"/>
      <c r="K13" s="420"/>
      <c r="L13" s="420"/>
      <c r="M13" s="420"/>
    </row>
    <row r="14" spans="2:13" x14ac:dyDescent="0.25">
      <c r="B14" s="421" t="s">
        <v>441</v>
      </c>
      <c r="C14" s="420"/>
      <c r="D14" s="420"/>
      <c r="E14" s="420"/>
      <c r="F14" s="420"/>
      <c r="G14" s="420"/>
      <c r="H14" s="650" t="str">
        <f>Datos!D10</f>
        <v>probeta</v>
      </c>
      <c r="I14" s="650"/>
      <c r="J14" s="420"/>
      <c r="K14" s="420"/>
      <c r="L14" s="420"/>
      <c r="M14" s="420"/>
    </row>
    <row r="15" spans="2:13" x14ac:dyDescent="0.25">
      <c r="B15" s="421" t="s">
        <v>442</v>
      </c>
      <c r="C15" s="420"/>
      <c r="D15" s="420"/>
      <c r="E15" s="420"/>
      <c r="F15" s="420"/>
      <c r="G15" s="420"/>
      <c r="H15" s="650" t="str">
        <f>Datos!D12</f>
        <v>Kimax</v>
      </c>
      <c r="I15" s="650"/>
      <c r="J15" s="650"/>
      <c r="K15" s="420"/>
      <c r="L15" s="420"/>
      <c r="M15" s="420"/>
    </row>
    <row r="16" spans="2:13" x14ac:dyDescent="0.25">
      <c r="B16" s="421" t="s">
        <v>69</v>
      </c>
      <c r="C16" s="420"/>
      <c r="D16" s="420"/>
      <c r="E16" s="420"/>
      <c r="F16" s="420"/>
      <c r="G16" s="420"/>
      <c r="H16" s="650">
        <f>Datos!D15</f>
        <v>1234567</v>
      </c>
      <c r="I16" s="650"/>
      <c r="J16" s="650"/>
      <c r="K16" s="420"/>
      <c r="L16" s="420"/>
      <c r="M16" s="420"/>
    </row>
    <row r="17" spans="2:13" x14ac:dyDescent="0.25">
      <c r="B17" s="421" t="s">
        <v>476</v>
      </c>
      <c r="C17" s="420"/>
      <c r="D17" s="420"/>
      <c r="E17" s="420"/>
      <c r="F17" s="420"/>
      <c r="G17" s="420"/>
      <c r="H17" s="424">
        <f>Datos!D8</f>
        <v>0</v>
      </c>
      <c r="I17" s="420"/>
      <c r="J17" s="420"/>
      <c r="K17" s="420"/>
      <c r="L17" s="420"/>
      <c r="M17" s="420"/>
    </row>
    <row r="18" spans="2:13" x14ac:dyDescent="0.25">
      <c r="B18" s="421" t="s">
        <v>477</v>
      </c>
      <c r="C18" s="420"/>
      <c r="D18" s="420"/>
      <c r="E18" s="420"/>
      <c r="F18" s="420"/>
      <c r="G18" s="420"/>
      <c r="H18" s="424">
        <f>Datos!D9</f>
        <v>0</v>
      </c>
      <c r="I18" s="420"/>
      <c r="J18" s="420"/>
      <c r="K18" s="420"/>
      <c r="L18" s="420"/>
      <c r="M18" s="420"/>
    </row>
    <row r="19" spans="2:13" x14ac:dyDescent="0.25">
      <c r="B19" s="421" t="s">
        <v>443</v>
      </c>
      <c r="C19" s="420"/>
      <c r="D19" s="420"/>
      <c r="E19" s="420"/>
      <c r="F19" s="420"/>
      <c r="G19" s="420"/>
      <c r="H19" s="424" t="str">
        <f>Datos!D13</f>
        <v>NI-MC-MV-07</v>
      </c>
      <c r="I19" s="420"/>
      <c r="J19" s="420"/>
      <c r="K19" s="420"/>
      <c r="L19" s="420"/>
      <c r="M19" s="420"/>
    </row>
    <row r="20" spans="2:13" x14ac:dyDescent="0.25">
      <c r="B20" s="421" t="s">
        <v>444</v>
      </c>
      <c r="C20" s="420"/>
      <c r="D20" s="420"/>
      <c r="E20" s="420"/>
      <c r="F20" s="420"/>
      <c r="G20" s="420"/>
      <c r="H20" s="424" t="str">
        <f>Datos!D6</f>
        <v>Agropecuaria Raminsa S.A.</v>
      </c>
      <c r="I20" s="420"/>
      <c r="J20" s="420"/>
      <c r="K20" s="420"/>
      <c r="L20" s="420"/>
      <c r="M20" s="420"/>
    </row>
    <row r="21" spans="2:13" x14ac:dyDescent="0.25">
      <c r="B21" s="421" t="s">
        <v>445</v>
      </c>
      <c r="C21" s="420"/>
      <c r="D21" s="420"/>
      <c r="E21" s="420"/>
      <c r="F21" s="420"/>
      <c r="G21" s="420"/>
      <c r="H21" s="424" t="str">
        <f>Datos!D7</f>
        <v>Plaza España, Edificio Malaga Módulo E8</v>
      </c>
      <c r="I21" s="420"/>
      <c r="J21" s="420"/>
      <c r="K21" s="420"/>
      <c r="L21" s="420"/>
      <c r="M21" s="420"/>
    </row>
    <row r="22" spans="2:13" ht="12.75" customHeight="1" x14ac:dyDescent="0.25">
      <c r="B22" s="421" t="s">
        <v>446</v>
      </c>
      <c r="C22" s="420"/>
      <c r="D22" s="420"/>
      <c r="E22" s="420"/>
      <c r="F22" s="420"/>
      <c r="G22" s="420"/>
      <c r="H22" s="672" t="s">
        <v>489</v>
      </c>
      <c r="I22" s="672"/>
      <c r="J22" s="672"/>
      <c r="K22" s="672"/>
      <c r="L22" s="672"/>
      <c r="M22" s="453"/>
    </row>
    <row r="23" spans="2:13" x14ac:dyDescent="0.25">
      <c r="B23" s="421"/>
      <c r="C23" s="420"/>
      <c r="D23" s="420"/>
      <c r="E23" s="420"/>
      <c r="F23" s="420"/>
      <c r="G23" s="420"/>
      <c r="H23" s="453"/>
      <c r="I23" s="453"/>
      <c r="J23" s="453"/>
      <c r="K23" s="453"/>
      <c r="L23" s="453"/>
      <c r="M23" s="453"/>
    </row>
    <row r="24" spans="2:13" x14ac:dyDescent="0.25">
      <c r="B24" s="421"/>
      <c r="C24" s="420"/>
      <c r="D24" s="420"/>
      <c r="E24" s="420"/>
      <c r="F24" s="420"/>
      <c r="G24" s="420"/>
      <c r="H24" s="425"/>
      <c r="I24" s="425"/>
      <c r="J24" s="425"/>
      <c r="K24" s="425"/>
      <c r="L24" s="425"/>
      <c r="M24" s="425"/>
    </row>
    <row r="25" spans="2:13" x14ac:dyDescent="0.25">
      <c r="B25" s="421" t="s">
        <v>447</v>
      </c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</row>
    <row r="26" spans="2:13" x14ac:dyDescent="0.25">
      <c r="B26" s="673" t="s">
        <v>448</v>
      </c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</row>
    <row r="27" spans="2:13" ht="8.4" customHeight="1" x14ac:dyDescent="0.25">
      <c r="B27" s="420"/>
      <c r="C27" s="420"/>
      <c r="D27" s="420"/>
      <c r="E27" s="421"/>
      <c r="F27" s="420"/>
      <c r="G27" s="420"/>
      <c r="H27" s="420"/>
      <c r="I27" s="420"/>
      <c r="J27" s="420"/>
      <c r="K27" s="420"/>
      <c r="L27" s="420"/>
      <c r="M27" s="420"/>
    </row>
    <row r="28" spans="2:13" ht="13.2" customHeight="1" x14ac:dyDescent="0.25">
      <c r="B28" s="674" t="s">
        <v>479</v>
      </c>
      <c r="C28" s="674"/>
      <c r="D28" s="651" t="s">
        <v>15</v>
      </c>
      <c r="E28" s="652"/>
      <c r="F28" s="652"/>
      <c r="G28" s="653"/>
      <c r="H28" s="651" t="s">
        <v>17</v>
      </c>
      <c r="I28" s="652"/>
      <c r="J28" s="652"/>
      <c r="K28" s="653"/>
      <c r="L28" s="674" t="s">
        <v>449</v>
      </c>
      <c r="M28" s="674"/>
    </row>
    <row r="29" spans="2:13" x14ac:dyDescent="0.25">
      <c r="B29" s="674"/>
      <c r="C29" s="674"/>
      <c r="D29" s="654"/>
      <c r="E29" s="655"/>
      <c r="F29" s="655"/>
      <c r="G29" s="656"/>
      <c r="H29" s="654"/>
      <c r="I29" s="655"/>
      <c r="J29" s="655"/>
      <c r="K29" s="656"/>
      <c r="L29" s="674"/>
      <c r="M29" s="674"/>
    </row>
    <row r="30" spans="2:13" x14ac:dyDescent="0.25">
      <c r="B30" s="675" t="str">
        <f>Datos!U5</f>
        <v>mL</v>
      </c>
      <c r="C30" s="675"/>
      <c r="D30" s="668" t="str">
        <f>Datos!U5</f>
        <v>mL</v>
      </c>
      <c r="E30" s="669"/>
      <c r="F30" s="669"/>
      <c r="G30" s="670"/>
      <c r="H30" s="668" t="str">
        <f>Datos!U5</f>
        <v>mL</v>
      </c>
      <c r="I30" s="669"/>
      <c r="J30" s="669"/>
      <c r="K30" s="670"/>
      <c r="L30" s="675" t="str">
        <f>Datos!U5</f>
        <v>mL</v>
      </c>
      <c r="M30" s="675"/>
    </row>
    <row r="31" spans="2:13" x14ac:dyDescent="0.25">
      <c r="B31" s="671">
        <f>Datos!E23</f>
        <v>10</v>
      </c>
      <c r="C31" s="671"/>
      <c r="D31" s="636">
        <f>'punto 1'!G24</f>
        <v>0</v>
      </c>
      <c r="E31" s="637"/>
      <c r="F31" s="637"/>
      <c r="G31" s="638"/>
      <c r="H31" s="636">
        <f>Datos!H27</f>
        <v>-10</v>
      </c>
      <c r="I31" s="637"/>
      <c r="J31" s="637"/>
      <c r="K31" s="638"/>
      <c r="L31" s="657">
        <f>Datos!I27</f>
        <v>0.91498926168697547</v>
      </c>
      <c r="M31" s="658"/>
    </row>
    <row r="32" spans="2:13" x14ac:dyDescent="0.25">
      <c r="B32" s="671">
        <f>Datos!E34</f>
        <v>10000</v>
      </c>
      <c r="C32" s="671"/>
      <c r="D32" s="636">
        <f>'punto 2'!G24</f>
        <v>0</v>
      </c>
      <c r="E32" s="637"/>
      <c r="F32" s="637"/>
      <c r="G32" s="638"/>
      <c r="H32" s="636">
        <f>Datos!H38</f>
        <v>-10000</v>
      </c>
      <c r="I32" s="637"/>
      <c r="J32" s="637"/>
      <c r="K32" s="638"/>
      <c r="L32" s="657">
        <f>Datos!I38</f>
        <v>0.91498926168697547</v>
      </c>
      <c r="M32" s="658"/>
    </row>
    <row r="33" spans="2:27" x14ac:dyDescent="0.25">
      <c r="B33" s="671">
        <f>Datos!E44</f>
        <v>2000</v>
      </c>
      <c r="C33" s="671"/>
      <c r="D33" s="636">
        <f>'punto 3'!G24</f>
        <v>0</v>
      </c>
      <c r="E33" s="637"/>
      <c r="F33" s="637"/>
      <c r="G33" s="638"/>
      <c r="H33" s="636">
        <f>Datos!H48</f>
        <v>-2000</v>
      </c>
      <c r="I33" s="637"/>
      <c r="J33" s="637"/>
      <c r="K33" s="638"/>
      <c r="L33" s="657">
        <f>Datos!I48</f>
        <v>0.91498926168697547</v>
      </c>
      <c r="M33" s="658"/>
    </row>
    <row r="34" spans="2:27" x14ac:dyDescent="0.25">
      <c r="B34" s="671">
        <f>Datos!E55</f>
        <v>10</v>
      </c>
      <c r="C34" s="671"/>
      <c r="D34" s="636">
        <f>'punto 4'!G24</f>
        <v>0</v>
      </c>
      <c r="E34" s="637"/>
      <c r="F34" s="637"/>
      <c r="G34" s="638"/>
      <c r="H34" s="636">
        <f>Datos!H59</f>
        <v>-10</v>
      </c>
      <c r="I34" s="637"/>
      <c r="J34" s="637"/>
      <c r="K34" s="638"/>
      <c r="L34" s="657">
        <f>Datos!I59</f>
        <v>0.91498926168697547</v>
      </c>
      <c r="M34" s="658"/>
    </row>
    <row r="35" spans="2:27" x14ac:dyDescent="0.25">
      <c r="B35" s="671">
        <f>Datos!E66</f>
        <v>10</v>
      </c>
      <c r="C35" s="671"/>
      <c r="D35" s="636">
        <f>'punto 5'!G24</f>
        <v>0</v>
      </c>
      <c r="E35" s="637"/>
      <c r="F35" s="637"/>
      <c r="G35" s="638"/>
      <c r="H35" s="636">
        <f>Datos!H70</f>
        <v>-10</v>
      </c>
      <c r="I35" s="637"/>
      <c r="J35" s="637"/>
      <c r="K35" s="638"/>
      <c r="L35" s="657">
        <f>Datos!I70</f>
        <v>0.91498926168697547</v>
      </c>
      <c r="M35" s="658"/>
    </row>
    <row r="37" spans="2:27" x14ac:dyDescent="0.25">
      <c r="B37" s="421" t="s">
        <v>450</v>
      </c>
      <c r="C37" s="420"/>
      <c r="D37" s="420"/>
      <c r="E37" s="420"/>
      <c r="F37" s="420"/>
      <c r="G37" s="420"/>
      <c r="H37" s="422" t="s">
        <v>451</v>
      </c>
      <c r="I37" s="420"/>
      <c r="J37" s="420"/>
      <c r="K37" s="420"/>
      <c r="L37" s="420"/>
      <c r="M37" s="420"/>
    </row>
    <row r="38" spans="2:27" x14ac:dyDescent="0.25">
      <c r="B38" s="424" t="s">
        <v>452</v>
      </c>
      <c r="C38" s="420"/>
      <c r="D38" s="426">
        <f>'punto 1'!M3</f>
        <v>-8.7300380228136881E-2</v>
      </c>
      <c r="E38" s="427" t="s">
        <v>453</v>
      </c>
      <c r="F38" s="426" t="str">
        <f>FIXED(CertTempIncerti,1)</f>
        <v>0.4</v>
      </c>
      <c r="G38" s="420" t="s">
        <v>454</v>
      </c>
      <c r="H38" s="424" t="s">
        <v>455</v>
      </c>
      <c r="I38" s="428" t="s">
        <v>456</v>
      </c>
      <c r="J38" s="429">
        <f>'punto 1'!M5</f>
        <v>0</v>
      </c>
      <c r="K38" s="427" t="s">
        <v>453</v>
      </c>
      <c r="L38" s="429">
        <f>CertPresIncert</f>
        <v>10</v>
      </c>
      <c r="M38" s="420" t="s">
        <v>480</v>
      </c>
    </row>
    <row r="39" spans="2:27" ht="14.4" customHeight="1" x14ac:dyDescent="0.25">
      <c r="B39" s="424" t="s">
        <v>457</v>
      </c>
      <c r="C39" s="427" t="s">
        <v>456</v>
      </c>
      <c r="D39" s="426">
        <f>'punto 1'!M4</f>
        <v>0.54767441860465138</v>
      </c>
      <c r="E39" s="427" t="s">
        <v>453</v>
      </c>
      <c r="F39" s="426" t="str">
        <f>FIXED(CertHRIncerti,1)</f>
        <v>1.3</v>
      </c>
      <c r="G39" s="420" t="s">
        <v>458</v>
      </c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  <c r="AA39" s="430"/>
    </row>
    <row r="40" spans="2:27" x14ac:dyDescent="0.25"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  <c r="AA40" s="430"/>
    </row>
    <row r="41" spans="2:27" ht="14.4" customHeight="1" x14ac:dyDescent="0.25">
      <c r="B41" s="431" t="s">
        <v>459</v>
      </c>
      <c r="N41" s="430"/>
      <c r="O41" s="430"/>
      <c r="P41" s="430"/>
      <c r="Q41" s="430"/>
      <c r="R41" s="430"/>
      <c r="S41" s="430"/>
      <c r="T41" s="430"/>
      <c r="U41" s="430"/>
      <c r="V41" s="430"/>
      <c r="W41" s="430"/>
      <c r="X41" s="430"/>
      <c r="Y41" s="430"/>
      <c r="Z41" s="430"/>
      <c r="AA41" s="430"/>
    </row>
    <row r="42" spans="2:27" x14ac:dyDescent="0.25">
      <c r="B42" s="641" t="s">
        <v>481</v>
      </c>
      <c r="C42" s="641"/>
      <c r="D42" s="641"/>
      <c r="E42" s="641"/>
      <c r="F42" s="641"/>
      <c r="G42" s="641"/>
      <c r="H42" s="641"/>
      <c r="I42" s="641"/>
      <c r="J42" s="641"/>
      <c r="K42" s="641"/>
      <c r="L42" s="641"/>
      <c r="M42" s="641"/>
      <c r="N42" s="430"/>
      <c r="O42" s="430"/>
      <c r="P42" s="430"/>
      <c r="Q42" s="430"/>
      <c r="R42" s="430"/>
      <c r="S42" s="430"/>
      <c r="T42" s="430"/>
      <c r="U42" s="430"/>
      <c r="V42" s="430"/>
      <c r="W42" s="430"/>
      <c r="X42" s="430"/>
      <c r="Y42" s="430"/>
      <c r="Z42" s="430"/>
      <c r="AA42" s="430"/>
    </row>
    <row r="43" spans="2:27" x14ac:dyDescent="0.25">
      <c r="B43" s="641"/>
      <c r="C43" s="641"/>
      <c r="D43" s="641"/>
      <c r="E43" s="641"/>
      <c r="F43" s="641"/>
      <c r="G43" s="641"/>
      <c r="H43" s="641"/>
      <c r="I43" s="641"/>
      <c r="J43" s="641"/>
      <c r="K43" s="641"/>
      <c r="L43" s="641"/>
      <c r="M43" s="641"/>
      <c r="N43" s="430"/>
      <c r="O43" s="430"/>
      <c r="P43" s="430"/>
      <c r="Q43" s="430"/>
      <c r="R43" s="430"/>
      <c r="S43" s="430"/>
      <c r="T43" s="430"/>
      <c r="U43" s="430"/>
      <c r="V43" s="430"/>
      <c r="W43" s="430"/>
      <c r="X43" s="430"/>
      <c r="Y43" s="430"/>
      <c r="Z43" s="430"/>
      <c r="AA43" s="430"/>
    </row>
    <row r="44" spans="2:27" x14ac:dyDescent="0.25">
      <c r="B44" s="641"/>
      <c r="C44" s="641"/>
      <c r="D44" s="641"/>
      <c r="E44" s="641"/>
      <c r="F44" s="641"/>
      <c r="G44" s="641"/>
      <c r="H44" s="641"/>
      <c r="I44" s="641"/>
      <c r="J44" s="641"/>
      <c r="K44" s="641"/>
      <c r="L44" s="641"/>
      <c r="M44" s="641"/>
      <c r="N44" s="430"/>
      <c r="O44" s="430"/>
      <c r="P44" s="430"/>
      <c r="Q44" s="430"/>
      <c r="R44" s="430"/>
      <c r="S44" s="430"/>
      <c r="T44" s="430"/>
      <c r="U44" s="430"/>
      <c r="V44" s="430"/>
      <c r="W44" s="430"/>
      <c r="X44" s="430"/>
      <c r="Y44" s="430"/>
      <c r="Z44" s="430"/>
      <c r="AA44" s="430"/>
    </row>
    <row r="45" spans="2:27" x14ac:dyDescent="0.25"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</row>
    <row r="46" spans="2:27" x14ac:dyDescent="0.25">
      <c r="B46" s="431" t="s">
        <v>460</v>
      </c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</row>
    <row r="47" spans="2:27" x14ac:dyDescent="0.25">
      <c r="B47" s="641" t="s">
        <v>461</v>
      </c>
      <c r="C47" s="641"/>
      <c r="D47" s="641"/>
      <c r="E47" s="641"/>
      <c r="F47" s="641"/>
      <c r="G47" s="641"/>
      <c r="H47" s="641"/>
      <c r="I47" s="641"/>
      <c r="J47" s="641"/>
      <c r="K47" s="641"/>
      <c r="L47" s="641"/>
      <c r="M47" s="641"/>
    </row>
    <row r="48" spans="2:27" x14ac:dyDescent="0.25">
      <c r="B48" s="641"/>
      <c r="C48" s="641"/>
      <c r="D48" s="641"/>
      <c r="E48" s="641"/>
      <c r="F48" s="641"/>
      <c r="G48" s="641"/>
      <c r="H48" s="641"/>
      <c r="I48" s="641"/>
      <c r="J48" s="641"/>
      <c r="K48" s="641"/>
      <c r="L48" s="641"/>
      <c r="M48" s="641"/>
    </row>
    <row r="49" spans="2:13" x14ac:dyDescent="0.25">
      <c r="B49" s="641"/>
      <c r="C49" s="641"/>
      <c r="D49" s="641"/>
      <c r="E49" s="641"/>
      <c r="F49" s="641"/>
      <c r="G49" s="641"/>
      <c r="H49" s="641"/>
      <c r="I49" s="641"/>
      <c r="J49" s="641"/>
      <c r="K49" s="641"/>
      <c r="L49" s="641"/>
      <c r="M49" s="641"/>
    </row>
    <row r="50" spans="2:13" x14ac:dyDescent="0.25"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</row>
    <row r="51" spans="2:13" x14ac:dyDescent="0.25">
      <c r="B51" s="641"/>
      <c r="C51" s="641"/>
      <c r="D51" s="641"/>
      <c r="E51" s="641"/>
      <c r="F51" s="641"/>
      <c r="G51" s="641"/>
      <c r="H51" s="641"/>
      <c r="I51" s="641"/>
      <c r="J51" s="641"/>
      <c r="K51" s="641"/>
      <c r="L51" s="641"/>
      <c r="M51" s="641"/>
    </row>
    <row r="53" spans="2:13" x14ac:dyDescent="0.25">
      <c r="B53" s="431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</row>
    <row r="54" spans="2:13" x14ac:dyDescent="0.25">
      <c r="B54" s="431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</row>
    <row r="55" spans="2:13" x14ac:dyDescent="0.25">
      <c r="B55" s="431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</row>
    <row r="56" spans="2:13" x14ac:dyDescent="0.25">
      <c r="B56" s="431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</row>
    <row r="57" spans="2:13" x14ac:dyDescent="0.25">
      <c r="B57" s="431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</row>
    <row r="58" spans="2:13" x14ac:dyDescent="0.25">
      <c r="B58" s="431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</row>
    <row r="59" spans="2:13" x14ac:dyDescent="0.25">
      <c r="B59" s="431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</row>
    <row r="60" spans="2:13" x14ac:dyDescent="0.25">
      <c r="B60" s="431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</row>
    <row r="61" spans="2:13" x14ac:dyDescent="0.25">
      <c r="B61" s="431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0"/>
    </row>
    <row r="62" spans="2:13" x14ac:dyDescent="0.25">
      <c r="B62" s="431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</row>
    <row r="63" spans="2:13" x14ac:dyDescent="0.25">
      <c r="B63" s="431" t="s">
        <v>437</v>
      </c>
      <c r="C63" s="420"/>
      <c r="D63" s="420"/>
      <c r="E63" s="420"/>
      <c r="F63" s="420"/>
      <c r="G63" s="420"/>
      <c r="H63" s="447" t="str">
        <f>H9</f>
        <v>NI-MC-V-XXX-2020</v>
      </c>
      <c r="I63" s="420"/>
      <c r="J63" s="420"/>
      <c r="K63" s="420"/>
      <c r="L63" s="420"/>
      <c r="M63" s="420"/>
    </row>
    <row r="64" spans="2:13" x14ac:dyDescent="0.25">
      <c r="B64" s="431"/>
      <c r="C64" s="420"/>
      <c r="D64" s="420"/>
      <c r="E64" s="420"/>
      <c r="F64" s="420"/>
      <c r="G64" s="420"/>
      <c r="H64" s="431"/>
      <c r="I64" s="420"/>
      <c r="J64" s="420"/>
      <c r="K64" s="420"/>
      <c r="L64" s="420"/>
      <c r="M64" s="420"/>
    </row>
    <row r="65" spans="2:13" x14ac:dyDescent="0.25">
      <c r="B65" s="431"/>
      <c r="C65" s="420"/>
      <c r="D65" s="420"/>
      <c r="E65" s="420"/>
      <c r="F65" s="420"/>
      <c r="G65" s="420"/>
      <c r="H65" s="431"/>
      <c r="I65" s="420"/>
      <c r="J65" s="420"/>
      <c r="K65" s="420"/>
      <c r="L65" s="420"/>
      <c r="M65" s="420"/>
    </row>
    <row r="66" spans="2:13" x14ac:dyDescent="0.25">
      <c r="B66" s="431" t="s">
        <v>462</v>
      </c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</row>
    <row r="67" spans="2:13" x14ac:dyDescent="0.25">
      <c r="B67" s="431"/>
      <c r="C67" s="420"/>
      <c r="D67" s="420"/>
      <c r="E67" s="420"/>
      <c r="F67" s="420"/>
      <c r="G67" s="420"/>
      <c r="H67" s="420"/>
      <c r="I67" s="420"/>
      <c r="J67" s="420"/>
      <c r="K67" s="420"/>
      <c r="L67" s="420"/>
      <c r="M67" s="420"/>
    </row>
    <row r="68" spans="2:13" x14ac:dyDescent="0.25">
      <c r="B68" s="663" t="str">
        <f>[2]Calibración!CP4</f>
        <v>Descripción</v>
      </c>
      <c r="C68" s="663"/>
      <c r="D68" s="645" t="str">
        <f>[2]Calibración!CR4</f>
        <v>Marca</v>
      </c>
      <c r="E68" s="646"/>
      <c r="F68" s="645" t="s">
        <v>483</v>
      </c>
      <c r="G68" s="646"/>
      <c r="H68" s="663" t="str">
        <f>[2]Calibración!CT4</f>
        <v>Trazabilidad</v>
      </c>
      <c r="I68" s="663"/>
      <c r="J68" s="663"/>
      <c r="K68" s="663"/>
      <c r="L68" s="664" t="str">
        <f>[2]Calibración!CU4</f>
        <v>Próx. Calibr.</v>
      </c>
      <c r="M68" s="664"/>
    </row>
    <row r="69" spans="2:13" ht="13.2" customHeight="1" x14ac:dyDescent="0.25">
      <c r="B69" s="665" t="s">
        <v>482</v>
      </c>
      <c r="C69" s="665"/>
      <c r="D69" s="661" t="s">
        <v>484</v>
      </c>
      <c r="E69" s="662"/>
      <c r="F69" s="661" t="s">
        <v>485</v>
      </c>
      <c r="G69" s="662"/>
      <c r="H69" s="666" t="s">
        <v>486</v>
      </c>
      <c r="I69" s="666"/>
      <c r="J69" s="666"/>
      <c r="K69" s="666"/>
      <c r="L69" s="667">
        <v>44697</v>
      </c>
      <c r="M69" s="667"/>
    </row>
    <row r="70" spans="2:13" hidden="1" x14ac:dyDescent="0.25">
      <c r="B70" s="644" t="str">
        <f>[2]Calibración!CP11</f>
        <v/>
      </c>
      <c r="C70" s="644"/>
      <c r="D70" s="432" t="str">
        <f>[2]Calibración!CR11</f>
        <v/>
      </c>
      <c r="E70" s="647" t="str">
        <f>[2]Calibración!CS11</f>
        <v/>
      </c>
      <c r="F70" s="647"/>
      <c r="G70" s="647"/>
      <c r="H70" s="647" t="str">
        <f>[2]Calibración!CT11</f>
        <v/>
      </c>
      <c r="I70" s="647"/>
      <c r="J70" s="647"/>
      <c r="K70" s="647"/>
      <c r="L70" s="648" t="str">
        <f>[2]Calibración!CU11</f>
        <v/>
      </c>
      <c r="M70" s="648"/>
    </row>
    <row r="71" spans="2:13" hidden="1" x14ac:dyDescent="0.25">
      <c r="B71" s="644" t="str">
        <f>[2]Calibración!CP12</f>
        <v/>
      </c>
      <c r="C71" s="644"/>
      <c r="D71" s="432" t="str">
        <f>[2]Calibración!CR12</f>
        <v/>
      </c>
      <c r="E71" s="647" t="str">
        <f>[2]Calibración!CS12</f>
        <v/>
      </c>
      <c r="F71" s="647"/>
      <c r="G71" s="647"/>
      <c r="H71" s="647" t="str">
        <f>[2]Calibración!CT12</f>
        <v/>
      </c>
      <c r="I71" s="647"/>
      <c r="J71" s="647"/>
      <c r="K71" s="647"/>
      <c r="L71" s="648" t="str">
        <f>[2]Calibración!CU12</f>
        <v/>
      </c>
      <c r="M71" s="648"/>
    </row>
    <row r="72" spans="2:13" hidden="1" x14ac:dyDescent="0.25">
      <c r="B72" s="644" t="str">
        <f>[2]Calibración!CP13</f>
        <v/>
      </c>
      <c r="C72" s="644"/>
      <c r="D72" s="432" t="str">
        <f>[2]Calibración!CR13</f>
        <v/>
      </c>
      <c r="E72" s="647" t="str">
        <f>[2]Calibración!CS13</f>
        <v/>
      </c>
      <c r="F72" s="647"/>
      <c r="G72" s="647"/>
      <c r="H72" s="647" t="str">
        <f>[2]Calibración!CT13</f>
        <v/>
      </c>
      <c r="I72" s="647"/>
      <c r="J72" s="647"/>
      <c r="K72" s="647"/>
      <c r="L72" s="648" t="str">
        <f>[2]Calibración!CU13</f>
        <v/>
      </c>
      <c r="M72" s="648"/>
    </row>
    <row r="73" spans="2:13" hidden="1" x14ac:dyDescent="0.25">
      <c r="B73" s="644" t="str">
        <f>[2]Calibración!CP14</f>
        <v/>
      </c>
      <c r="C73" s="644"/>
      <c r="D73" s="432" t="str">
        <f>[2]Calibración!CR14</f>
        <v/>
      </c>
      <c r="E73" s="647" t="str">
        <f>[2]Calibración!CS14</f>
        <v/>
      </c>
      <c r="F73" s="647"/>
      <c r="G73" s="647"/>
      <c r="H73" s="647" t="str">
        <f>[2]Calibración!CT14</f>
        <v/>
      </c>
      <c r="I73" s="647"/>
      <c r="J73" s="647"/>
      <c r="K73" s="647"/>
      <c r="L73" s="648" t="str">
        <f>[2]Calibración!CU14</f>
        <v/>
      </c>
      <c r="M73" s="648"/>
    </row>
    <row r="74" spans="2:13" hidden="1" x14ac:dyDescent="0.25">
      <c r="B74" s="644" t="str">
        <f>[2]Calibración!CP15</f>
        <v/>
      </c>
      <c r="C74" s="644"/>
      <c r="D74" s="432" t="str">
        <f>[2]Calibración!CR15</f>
        <v/>
      </c>
      <c r="E74" s="647" t="str">
        <f>[2]Calibración!CS15</f>
        <v/>
      </c>
      <c r="F74" s="647"/>
      <c r="G74" s="647"/>
      <c r="H74" s="647" t="str">
        <f>[2]Calibración!CT15</f>
        <v/>
      </c>
      <c r="I74" s="647"/>
      <c r="J74" s="647"/>
      <c r="K74" s="647"/>
      <c r="L74" s="648" t="str">
        <f>[2]Calibración!CU15</f>
        <v/>
      </c>
      <c r="M74" s="648"/>
    </row>
    <row r="75" spans="2:13" hidden="1" x14ac:dyDescent="0.25">
      <c r="B75" s="644" t="str">
        <f>[2]Calibración!CP16</f>
        <v/>
      </c>
      <c r="C75" s="644"/>
      <c r="D75" s="432" t="str">
        <f>[2]Calibración!CR16</f>
        <v/>
      </c>
      <c r="E75" s="647" t="str">
        <f>[2]Calibración!CS16</f>
        <v/>
      </c>
      <c r="F75" s="647"/>
      <c r="G75" s="647"/>
      <c r="H75" s="647" t="str">
        <f>[2]Calibración!CT16</f>
        <v/>
      </c>
      <c r="I75" s="647"/>
      <c r="J75" s="647"/>
      <c r="K75" s="647"/>
      <c r="L75" s="648" t="str">
        <f>[2]Calibración!CU16</f>
        <v/>
      </c>
      <c r="M75" s="648"/>
    </row>
    <row r="76" spans="2:13" hidden="1" x14ac:dyDescent="0.25">
      <c r="B76" s="644" t="str">
        <f>[2]Calibración!CP17</f>
        <v/>
      </c>
      <c r="C76" s="644"/>
      <c r="D76" s="432" t="str">
        <f>[2]Calibración!CR17</f>
        <v/>
      </c>
      <c r="E76" s="647" t="str">
        <f>[2]Calibración!CS17</f>
        <v/>
      </c>
      <c r="F76" s="647"/>
      <c r="G76" s="647"/>
      <c r="H76" s="647" t="str">
        <f>[2]Calibración!CT17</f>
        <v/>
      </c>
      <c r="I76" s="647"/>
      <c r="J76" s="647"/>
      <c r="K76" s="647"/>
      <c r="L76" s="648" t="str">
        <f>[2]Calibración!CU17</f>
        <v/>
      </c>
      <c r="M76" s="648"/>
    </row>
    <row r="77" spans="2:13" hidden="1" x14ac:dyDescent="0.25">
      <c r="B77" s="644" t="str">
        <f>[2]Calibración!CP18</f>
        <v/>
      </c>
      <c r="C77" s="644"/>
      <c r="D77" s="432" t="str">
        <f>[2]Calibración!CR18</f>
        <v/>
      </c>
      <c r="E77" s="647" t="str">
        <f>[2]Calibración!CS18</f>
        <v/>
      </c>
      <c r="F77" s="647"/>
      <c r="G77" s="647"/>
      <c r="H77" s="647" t="str">
        <f>[2]Calibración!CT18</f>
        <v/>
      </c>
      <c r="I77" s="647"/>
      <c r="J77" s="647"/>
      <c r="K77" s="647"/>
      <c r="L77" s="648" t="str">
        <f>[2]Calibración!CU18</f>
        <v/>
      </c>
      <c r="M77" s="648"/>
    </row>
    <row r="78" spans="2:13" hidden="1" x14ac:dyDescent="0.25">
      <c r="B78" s="644" t="str">
        <f>[2]Calibración!CP19</f>
        <v/>
      </c>
      <c r="C78" s="644"/>
      <c r="D78" s="432" t="str">
        <f>[2]Calibración!CR19</f>
        <v/>
      </c>
      <c r="E78" s="647" t="str">
        <f>[2]Calibración!CS19</f>
        <v/>
      </c>
      <c r="F78" s="647"/>
      <c r="G78" s="647"/>
      <c r="H78" s="647" t="str">
        <f>[2]Calibración!CT19</f>
        <v/>
      </c>
      <c r="I78" s="647"/>
      <c r="J78" s="647"/>
      <c r="K78" s="647"/>
      <c r="L78" s="648" t="str">
        <f>[2]Calibración!CU19</f>
        <v/>
      </c>
      <c r="M78" s="648"/>
    </row>
    <row r="79" spans="2:13" hidden="1" x14ac:dyDescent="0.25">
      <c r="B79" s="644" t="str">
        <f>[2]Calibración!CP20</f>
        <v/>
      </c>
      <c r="C79" s="644"/>
      <c r="D79" s="432" t="str">
        <f>[2]Calibración!CR20</f>
        <v/>
      </c>
      <c r="E79" s="647" t="str">
        <f>[2]Calibración!CS20</f>
        <v/>
      </c>
      <c r="F79" s="647"/>
      <c r="G79" s="647"/>
      <c r="H79" s="647" t="str">
        <f>[2]Calibración!CT20</f>
        <v/>
      </c>
      <c r="I79" s="647"/>
      <c r="J79" s="647"/>
      <c r="K79" s="647"/>
      <c r="L79" s="648" t="str">
        <f>[2]Calibración!CU20</f>
        <v/>
      </c>
      <c r="M79" s="648"/>
    </row>
    <row r="80" spans="2:13" hidden="1" x14ac:dyDescent="0.25">
      <c r="B80" s="644" t="str">
        <f>[2]Calibración!CP21</f>
        <v/>
      </c>
      <c r="C80" s="644"/>
      <c r="D80" s="432" t="str">
        <f>[2]Calibración!CR21</f>
        <v/>
      </c>
      <c r="E80" s="647" t="str">
        <f>[2]Calibración!CS21</f>
        <v/>
      </c>
      <c r="F80" s="647"/>
      <c r="G80" s="647"/>
      <c r="H80" s="647" t="str">
        <f>[2]Calibración!CT21</f>
        <v/>
      </c>
      <c r="I80" s="647"/>
      <c r="J80" s="647"/>
      <c r="K80" s="647"/>
      <c r="L80" s="648" t="str">
        <f>[2]Calibración!CU21</f>
        <v/>
      </c>
      <c r="M80" s="648"/>
    </row>
    <row r="81" spans="2:20" hidden="1" x14ac:dyDescent="0.25">
      <c r="B81" s="644" t="str">
        <f>[2]Calibración!CP22</f>
        <v/>
      </c>
      <c r="C81" s="644"/>
      <c r="D81" s="432" t="str">
        <f>[2]Calibración!CR22</f>
        <v/>
      </c>
      <c r="E81" s="647" t="str">
        <f>[2]Calibración!CS22</f>
        <v/>
      </c>
      <c r="F81" s="647"/>
      <c r="G81" s="647"/>
      <c r="H81" s="647" t="str">
        <f>[2]Calibración!CT22</f>
        <v/>
      </c>
      <c r="I81" s="647"/>
      <c r="J81" s="647"/>
      <c r="K81" s="647"/>
      <c r="L81" s="648" t="str">
        <f>[2]Calibración!CU22</f>
        <v/>
      </c>
      <c r="M81" s="648"/>
    </row>
    <row r="82" spans="2:20" hidden="1" x14ac:dyDescent="0.25">
      <c r="B82" s="644" t="str">
        <f>[2]Calibración!CP23</f>
        <v/>
      </c>
      <c r="C82" s="644"/>
      <c r="D82" s="432" t="str">
        <f>[2]Calibración!CR23</f>
        <v/>
      </c>
      <c r="E82" s="647" t="str">
        <f>[2]Calibración!CS23</f>
        <v/>
      </c>
      <c r="F82" s="647"/>
      <c r="G82" s="647"/>
      <c r="H82" s="647" t="str">
        <f>[2]Calibración!CT23</f>
        <v/>
      </c>
      <c r="I82" s="647"/>
      <c r="J82" s="647"/>
      <c r="K82" s="647"/>
      <c r="L82" s="648" t="str">
        <f>[2]Calibración!CU23</f>
        <v/>
      </c>
      <c r="M82" s="648"/>
    </row>
    <row r="83" spans="2:20" hidden="1" x14ac:dyDescent="0.25">
      <c r="B83" s="644" t="str">
        <f>[2]Calibración!CP24</f>
        <v/>
      </c>
      <c r="C83" s="644"/>
      <c r="D83" s="432" t="str">
        <f>[2]Calibración!CR24</f>
        <v/>
      </c>
      <c r="E83" s="647" t="str">
        <f>[2]Calibración!CS24</f>
        <v/>
      </c>
      <c r="F83" s="647"/>
      <c r="G83" s="647"/>
      <c r="H83" s="647" t="str">
        <f>[2]Calibración!CT24</f>
        <v/>
      </c>
      <c r="I83" s="647"/>
      <c r="J83" s="647"/>
      <c r="K83" s="647"/>
      <c r="L83" s="648" t="str">
        <f>[2]Calibración!CU24</f>
        <v/>
      </c>
      <c r="M83" s="648"/>
    </row>
    <row r="84" spans="2:20" hidden="1" x14ac:dyDescent="0.25">
      <c r="B84" s="644" t="str">
        <f>[2]Calibración!CP25</f>
        <v/>
      </c>
      <c r="C84" s="644"/>
      <c r="D84" s="432" t="str">
        <f>[2]Calibración!CR25</f>
        <v/>
      </c>
      <c r="E84" s="647" t="str">
        <f>[2]Calibración!CS25</f>
        <v/>
      </c>
      <c r="F84" s="647"/>
      <c r="G84" s="647"/>
      <c r="H84" s="647" t="str">
        <f>[2]Calibración!CT25</f>
        <v/>
      </c>
      <c r="I84" s="647"/>
      <c r="J84" s="647"/>
      <c r="K84" s="647"/>
      <c r="L84" s="648" t="str">
        <f>[2]Calibración!CU25</f>
        <v/>
      </c>
      <c r="M84" s="648"/>
    </row>
    <row r="85" spans="2:20" x14ac:dyDescent="0.25"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</row>
    <row r="86" spans="2:20" x14ac:dyDescent="0.25">
      <c r="B86" s="431" t="s">
        <v>463</v>
      </c>
    </row>
    <row r="87" spans="2:20" x14ac:dyDescent="0.25">
      <c r="B87" s="659" t="s">
        <v>464</v>
      </c>
      <c r="C87" s="659"/>
      <c r="D87" s="659"/>
      <c r="E87" s="659"/>
      <c r="F87" s="659"/>
      <c r="G87" s="659"/>
      <c r="H87" s="659"/>
      <c r="I87" s="659"/>
      <c r="J87" s="659"/>
      <c r="K87" s="659"/>
      <c r="L87" s="659"/>
      <c r="M87" s="659"/>
    </row>
    <row r="88" spans="2:20" x14ac:dyDescent="0.25">
      <c r="B88" s="659" t="s">
        <v>465</v>
      </c>
      <c r="C88" s="659"/>
      <c r="D88" s="659"/>
      <c r="E88" s="659"/>
      <c r="F88" s="659"/>
      <c r="G88" s="659"/>
      <c r="H88" s="659"/>
      <c r="I88" s="659"/>
      <c r="J88" s="659"/>
      <c r="K88" s="659"/>
      <c r="L88" s="659"/>
      <c r="M88" s="659"/>
    </row>
    <row r="89" spans="2:20" ht="24.75" customHeight="1" x14ac:dyDescent="0.25">
      <c r="B89" s="660" t="s">
        <v>487</v>
      </c>
      <c r="C89" s="660"/>
      <c r="D89" s="660"/>
      <c r="E89" s="660"/>
      <c r="F89" s="660"/>
      <c r="G89" s="660"/>
      <c r="H89" s="660"/>
      <c r="I89" s="660"/>
      <c r="J89" s="660"/>
      <c r="K89" s="660"/>
      <c r="L89" s="660"/>
      <c r="M89" s="660"/>
    </row>
    <row r="90" spans="2:20" ht="24" customHeight="1" x14ac:dyDescent="0.25">
      <c r="B90" s="660" t="s">
        <v>488</v>
      </c>
      <c r="C90" s="660"/>
      <c r="D90" s="660"/>
      <c r="E90" s="660"/>
      <c r="F90" s="660"/>
      <c r="G90" s="660"/>
      <c r="H90" s="660"/>
      <c r="I90" s="660"/>
      <c r="J90" s="660"/>
      <c r="K90" s="660"/>
      <c r="L90" s="660"/>
      <c r="M90" s="660"/>
      <c r="S90" s="430"/>
      <c r="T90" s="430"/>
    </row>
    <row r="98" spans="2:19" x14ac:dyDescent="0.25">
      <c r="F98" s="642"/>
      <c r="G98" s="642"/>
      <c r="H98" s="642"/>
      <c r="I98" s="642"/>
    </row>
    <row r="99" spans="2:19" x14ac:dyDescent="0.25">
      <c r="F99" s="643" t="s">
        <v>466</v>
      </c>
      <c r="G99" s="643"/>
      <c r="H99" s="643"/>
      <c r="I99" s="643"/>
    </row>
    <row r="100" spans="2:19" x14ac:dyDescent="0.25">
      <c r="F100" s="643" t="s">
        <v>467</v>
      </c>
      <c r="G100" s="643"/>
      <c r="H100" s="643"/>
      <c r="I100" s="643"/>
      <c r="R100" s="427"/>
      <c r="S100" s="427"/>
    </row>
    <row r="101" spans="2:19" x14ac:dyDescent="0.25">
      <c r="F101" s="640" t="s">
        <v>468</v>
      </c>
      <c r="G101" s="640"/>
      <c r="H101" s="640"/>
      <c r="I101" s="640"/>
      <c r="R101" s="433"/>
      <c r="S101" s="433"/>
    </row>
    <row r="102" spans="2:19" x14ac:dyDescent="0.25">
      <c r="B102" s="420"/>
      <c r="C102" s="420"/>
      <c r="D102" s="420"/>
      <c r="K102" s="420"/>
      <c r="L102" s="420"/>
      <c r="M102" s="420"/>
    </row>
    <row r="103" spans="2:19" x14ac:dyDescent="0.25">
      <c r="B103" s="420"/>
      <c r="C103" s="420"/>
      <c r="D103" s="420"/>
      <c r="K103" s="420"/>
      <c r="L103" s="420"/>
      <c r="M103" s="420"/>
    </row>
    <row r="104" spans="2:19" x14ac:dyDescent="0.25">
      <c r="E104" s="640" t="s">
        <v>469</v>
      </c>
      <c r="F104" s="640"/>
      <c r="G104" s="640"/>
      <c r="H104" s="640"/>
      <c r="I104" s="640"/>
      <c r="J104" s="640"/>
    </row>
  </sheetData>
  <mergeCells count="117">
    <mergeCell ref="L31:M31"/>
    <mergeCell ref="B32:C32"/>
    <mergeCell ref="H22:L22"/>
    <mergeCell ref="H13:I13"/>
    <mergeCell ref="B26:M26"/>
    <mergeCell ref="B28:C29"/>
    <mergeCell ref="L28:M29"/>
    <mergeCell ref="H28:K29"/>
    <mergeCell ref="B30:C30"/>
    <mergeCell ref="L30:M30"/>
    <mergeCell ref="D30:G30"/>
    <mergeCell ref="H30:K30"/>
    <mergeCell ref="B35:C35"/>
    <mergeCell ref="L35:M35"/>
    <mergeCell ref="B33:C33"/>
    <mergeCell ref="L33:M33"/>
    <mergeCell ref="B34:C34"/>
    <mergeCell ref="B31:C31"/>
    <mergeCell ref="D31:G31"/>
    <mergeCell ref="D32:G32"/>
    <mergeCell ref="B68:C68"/>
    <mergeCell ref="H68:K68"/>
    <mergeCell ref="L68:M68"/>
    <mergeCell ref="B69:C69"/>
    <mergeCell ref="H69:K69"/>
    <mergeCell ref="L69:M69"/>
    <mergeCell ref="F68:G68"/>
    <mergeCell ref="B71:C71"/>
    <mergeCell ref="E71:G71"/>
    <mergeCell ref="H71:K71"/>
    <mergeCell ref="L71:M71"/>
    <mergeCell ref="D69:E69"/>
    <mergeCell ref="F69:G69"/>
    <mergeCell ref="B70:C70"/>
    <mergeCell ref="E70:G70"/>
    <mergeCell ref="H70:K70"/>
    <mergeCell ref="L70:M70"/>
    <mergeCell ref="B72:C72"/>
    <mergeCell ref="E72:G72"/>
    <mergeCell ref="H72:K72"/>
    <mergeCell ref="L72:M72"/>
    <mergeCell ref="B73:C73"/>
    <mergeCell ref="E73:G73"/>
    <mergeCell ref="H73:K73"/>
    <mergeCell ref="L73:M73"/>
    <mergeCell ref="B74:C74"/>
    <mergeCell ref="E74:G74"/>
    <mergeCell ref="H74:K74"/>
    <mergeCell ref="L74:M74"/>
    <mergeCell ref="B75:C75"/>
    <mergeCell ref="E75:G75"/>
    <mergeCell ref="H75:K75"/>
    <mergeCell ref="L75:M75"/>
    <mergeCell ref="B76:C76"/>
    <mergeCell ref="E76:G76"/>
    <mergeCell ref="H76:K76"/>
    <mergeCell ref="L76:M76"/>
    <mergeCell ref="B77:C77"/>
    <mergeCell ref="E77:G77"/>
    <mergeCell ref="H77:K77"/>
    <mergeCell ref="L77:M77"/>
    <mergeCell ref="B78:C78"/>
    <mergeCell ref="E78:G78"/>
    <mergeCell ref="H78:K78"/>
    <mergeCell ref="L78:M78"/>
    <mergeCell ref="B79:C79"/>
    <mergeCell ref="E79:G79"/>
    <mergeCell ref="H79:K79"/>
    <mergeCell ref="L79:M79"/>
    <mergeCell ref="B80:C80"/>
    <mergeCell ref="E80:G80"/>
    <mergeCell ref="H80:K80"/>
    <mergeCell ref="L80:M80"/>
    <mergeCell ref="B81:C81"/>
    <mergeCell ref="E81:G81"/>
    <mergeCell ref="H81:K81"/>
    <mergeCell ref="L81:M81"/>
    <mergeCell ref="B82:C82"/>
    <mergeCell ref="E82:G82"/>
    <mergeCell ref="H82:K82"/>
    <mergeCell ref="L82:M82"/>
    <mergeCell ref="B83:C83"/>
    <mergeCell ref="E83:G83"/>
    <mergeCell ref="H83:K83"/>
    <mergeCell ref="L83:M83"/>
    <mergeCell ref="F100:I100"/>
    <mergeCell ref="F101:I101"/>
    <mergeCell ref="B88:M88"/>
    <mergeCell ref="B89:M89"/>
    <mergeCell ref="B90:M90"/>
    <mergeCell ref="B87:M87"/>
    <mergeCell ref="H11:I11"/>
    <mergeCell ref="H15:J15"/>
    <mergeCell ref="H14:I14"/>
    <mergeCell ref="H16:J16"/>
    <mergeCell ref="D28:G29"/>
    <mergeCell ref="B42:M44"/>
    <mergeCell ref="L34:M34"/>
    <mergeCell ref="D34:G34"/>
    <mergeCell ref="D35:G35"/>
    <mergeCell ref="L32:M32"/>
    <mergeCell ref="D33:G33"/>
    <mergeCell ref="E104:J104"/>
    <mergeCell ref="B47:M51"/>
    <mergeCell ref="F98:I98"/>
    <mergeCell ref="F99:I99"/>
    <mergeCell ref="B84:C84"/>
    <mergeCell ref="D68:E68"/>
    <mergeCell ref="E84:G84"/>
    <mergeCell ref="H84:K84"/>
    <mergeCell ref="L84:M84"/>
    <mergeCell ref="H31:K31"/>
    <mergeCell ref="H32:K32"/>
    <mergeCell ref="H33:K33"/>
    <mergeCell ref="H34:K34"/>
    <mergeCell ref="H35:K35"/>
    <mergeCell ref="H12:I12"/>
  </mergeCells>
  <pageMargins left="0.62" right="0.52" top="0.75" bottom="0.75" header="0.3" footer="0.3"/>
  <pageSetup orientation="portrait" horizontalDpi="1200" verticalDpi="1200" r:id="rId1"/>
  <headerFooter>
    <oddHeader>&amp;C
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7013-5B8E-4E28-B6D6-52E3250FB550}">
  <dimension ref="B2:Q27"/>
  <sheetViews>
    <sheetView workbookViewId="0">
      <selection activeCell="Q14" sqref="Q14"/>
    </sheetView>
  </sheetViews>
  <sheetFormatPr baseColWidth="10" defaultRowHeight="13.2" x14ac:dyDescent="0.25"/>
  <cols>
    <col min="1" max="2" width="8.88671875" customWidth="1"/>
    <col min="3" max="3" width="13" bestFit="1" customWidth="1"/>
    <col min="4" max="4" width="17.77734375" customWidth="1"/>
    <col min="5" max="9" width="8.88671875" customWidth="1"/>
    <col min="10" max="10" width="10.5546875" customWidth="1"/>
    <col min="11" max="11" width="10" customWidth="1"/>
    <col min="12" max="256" width="8.88671875" customWidth="1"/>
  </cols>
  <sheetData>
    <row r="2" spans="2:17" x14ac:dyDescent="0.25">
      <c r="B2" s="478"/>
      <c r="C2" s="478"/>
      <c r="D2" s="478"/>
      <c r="I2" s="479"/>
    </row>
    <row r="3" spans="2:17" x14ac:dyDescent="0.25">
      <c r="B3" s="697" t="s">
        <v>1029</v>
      </c>
      <c r="C3" s="697"/>
      <c r="D3" s="697"/>
    </row>
    <row r="4" spans="2:17" ht="15" thickBot="1" x14ac:dyDescent="0.35">
      <c r="B4" s="480"/>
      <c r="C4" s="480"/>
      <c r="D4" s="480"/>
      <c r="I4" s="681" t="s">
        <v>1030</v>
      </c>
      <c r="J4" s="681"/>
      <c r="K4" s="681" t="s">
        <v>14</v>
      </c>
      <c r="L4" s="681"/>
      <c r="N4" s="481" t="s">
        <v>1059</v>
      </c>
      <c r="O4" s="482"/>
    </row>
    <row r="5" spans="2:17" ht="16.2" thickBot="1" x14ac:dyDescent="0.3">
      <c r="B5" s="682" t="s">
        <v>1031</v>
      </c>
      <c r="C5" s="683"/>
      <c r="D5" s="684" t="s">
        <v>1058</v>
      </c>
      <c r="E5" s="685"/>
      <c r="F5" s="686"/>
      <c r="I5" s="483" t="s">
        <v>1032</v>
      </c>
      <c r="J5" s="483" t="s">
        <v>1033</v>
      </c>
      <c r="K5" s="483" t="s">
        <v>1032</v>
      </c>
      <c r="L5" s="483" t="s">
        <v>1033</v>
      </c>
      <c r="M5" s="483" t="s">
        <v>1034</v>
      </c>
      <c r="N5" s="483" t="s">
        <v>1035</v>
      </c>
      <c r="O5" s="483" t="s">
        <v>1036</v>
      </c>
      <c r="P5" s="483" t="s">
        <v>1037</v>
      </c>
      <c r="Q5" s="483" t="s">
        <v>1038</v>
      </c>
    </row>
    <row r="6" spans="2:17" ht="13.8" thickBot="1" x14ac:dyDescent="0.3">
      <c r="B6" s="687" t="s">
        <v>1053</v>
      </c>
      <c r="C6" s="688"/>
      <c r="D6" s="497" t="s">
        <v>1062</v>
      </c>
      <c r="E6" s="691" t="s">
        <v>1057</v>
      </c>
      <c r="F6" s="692"/>
      <c r="I6" s="60">
        <v>10</v>
      </c>
      <c r="J6" s="60">
        <v>250</v>
      </c>
      <c r="K6" s="60">
        <v>2.3E-2</v>
      </c>
      <c r="L6" s="60">
        <v>9.8000000000000004E-2</v>
      </c>
      <c r="M6" s="484">
        <v>2.3E-2</v>
      </c>
      <c r="N6" s="485">
        <v>2.9999999999999997E-4</v>
      </c>
      <c r="O6" s="60"/>
      <c r="P6" s="60"/>
      <c r="Q6" s="485"/>
    </row>
    <row r="7" spans="2:17" ht="13.8" thickBot="1" x14ac:dyDescent="0.3">
      <c r="B7" s="689" t="s">
        <v>1054</v>
      </c>
      <c r="C7" s="690"/>
      <c r="D7" s="497" t="s">
        <v>1064</v>
      </c>
      <c r="E7" s="695" t="s">
        <v>1056</v>
      </c>
      <c r="F7" s="696"/>
      <c r="I7" s="60">
        <v>2000</v>
      </c>
      <c r="J7" s="60">
        <v>20000</v>
      </c>
      <c r="K7" s="60">
        <f>0.00025*1000</f>
        <v>0.25</v>
      </c>
      <c r="L7" s="60">
        <f>0.0025*1000</f>
        <v>2.5</v>
      </c>
      <c r="M7" s="484">
        <v>0</v>
      </c>
      <c r="N7" s="485">
        <f>0.000125</f>
        <v>1.25E-4</v>
      </c>
      <c r="O7" s="60"/>
      <c r="P7" s="60"/>
      <c r="Q7" s="60"/>
    </row>
    <row r="8" spans="2:17" ht="13.8" thickBot="1" x14ac:dyDescent="0.3">
      <c r="B8" s="496"/>
      <c r="C8" s="496"/>
      <c r="D8" s="498" t="s">
        <v>1031</v>
      </c>
      <c r="E8" s="693" t="s">
        <v>1055</v>
      </c>
      <c r="F8" s="694"/>
      <c r="I8" s="60"/>
      <c r="J8" s="60"/>
      <c r="K8" s="60"/>
      <c r="L8" s="60"/>
      <c r="M8" s="484"/>
      <c r="N8" s="484"/>
      <c r="O8" s="60"/>
      <c r="P8" s="60"/>
      <c r="Q8" s="60"/>
    </row>
    <row r="9" spans="2:17" x14ac:dyDescent="0.25">
      <c r="B9" s="496"/>
      <c r="C9" s="496"/>
      <c r="D9" s="496"/>
      <c r="I9" s="60"/>
      <c r="J9" s="60"/>
      <c r="K9" s="60"/>
      <c r="L9" s="60"/>
      <c r="M9" s="484"/>
      <c r="N9" s="484"/>
    </row>
    <row r="10" spans="2:17" ht="13.8" thickBot="1" x14ac:dyDescent="0.3">
      <c r="B10" s="496"/>
      <c r="C10" s="496"/>
      <c r="I10" s="60"/>
      <c r="J10" s="60"/>
      <c r="K10" s="60"/>
      <c r="L10" s="60"/>
      <c r="M10" s="484"/>
      <c r="N10" s="484"/>
    </row>
    <row r="11" spans="2:17" ht="13.8" thickBot="1" x14ac:dyDescent="0.3">
      <c r="B11" s="496"/>
      <c r="C11" s="498" t="s">
        <v>1061</v>
      </c>
      <c r="D11" s="502" t="s">
        <v>1057</v>
      </c>
      <c r="I11" s="60"/>
      <c r="J11" s="60"/>
      <c r="K11" s="60"/>
      <c r="L11" s="60"/>
      <c r="M11" s="484"/>
      <c r="N11" s="484"/>
    </row>
    <row r="12" spans="2:17" ht="13.8" thickBot="1" x14ac:dyDescent="0.3">
      <c r="B12" s="496"/>
      <c r="C12" s="498">
        <v>10</v>
      </c>
      <c r="D12" s="504">
        <f>0.0003*(C12) + 0.023</f>
        <v>2.5999999999999999E-2</v>
      </c>
    </row>
    <row r="13" spans="2:17" x14ac:dyDescent="0.25">
      <c r="B13" s="486"/>
      <c r="D13" s="486"/>
    </row>
    <row r="14" spans="2:17" ht="14.4" x14ac:dyDescent="0.3">
      <c r="B14" s="486"/>
      <c r="C14" s="505" t="s">
        <v>1061</v>
      </c>
      <c r="D14" s="505" t="s">
        <v>1063</v>
      </c>
      <c r="I14" s="481" t="s">
        <v>1059</v>
      </c>
      <c r="J14" s="482"/>
    </row>
    <row r="15" spans="2:17" ht="15.6" x14ac:dyDescent="0.25">
      <c r="B15" s="486"/>
      <c r="C15" s="506">
        <v>1</v>
      </c>
      <c r="D15" s="507">
        <f>0.0003*(C15) + 0.023</f>
        <v>2.3300000000000001E-2</v>
      </c>
      <c r="I15" s="487" t="s">
        <v>1039</v>
      </c>
      <c r="J15" s="499" t="s">
        <v>1060</v>
      </c>
      <c r="K15" s="488" t="s">
        <v>1040</v>
      </c>
      <c r="L15" s="487" t="s">
        <v>1041</v>
      </c>
      <c r="M15" s="487" t="s">
        <v>1042</v>
      </c>
    </row>
    <row r="16" spans="2:17" x14ac:dyDescent="0.25">
      <c r="B16" s="486"/>
      <c r="C16" s="506">
        <v>10</v>
      </c>
      <c r="D16" s="507">
        <f>0.0003*(C16) + 0.023</f>
        <v>2.5999999999999999E-2</v>
      </c>
      <c r="E16" s="486"/>
      <c r="I16" s="489" t="s">
        <v>1043</v>
      </c>
      <c r="J16" s="500">
        <f>Datos!$E$23</f>
        <v>10</v>
      </c>
      <c r="K16" s="491">
        <f>Datos!$I$27</f>
        <v>0.91498926168697547</v>
      </c>
      <c r="L16" s="501">
        <f>IF(J16=0,0,IF(J16&lt;=$J$6,$M$6+$N$6*J16+$O$6*J16^2+$P$6*J16^3+$Q$6*J16^4,IF(J16&gt;$J$7,$M$7+$N$7*J16+$O$7*J16^2+$P$7*J16^3+$Q$7*J16^4,$M$7+$N$7*J16+$O$7*J16^2+$P$7*J16^3+$Q$7*J16^4)))</f>
        <v>2.5999999999999999E-2</v>
      </c>
      <c r="M16" s="492">
        <f>IF(K16&gt;=L16,K16,IF(K16&lt;=L16,L16,L16))</f>
        <v>0.91498926168697547</v>
      </c>
    </row>
    <row r="17" spans="2:13" x14ac:dyDescent="0.25">
      <c r="B17" s="486"/>
      <c r="C17" s="506">
        <v>50</v>
      </c>
      <c r="D17" s="507">
        <f>0.0003*(C17) + 0.023</f>
        <v>3.7999999999999999E-2</v>
      </c>
      <c r="E17" s="486"/>
      <c r="I17" s="489" t="s">
        <v>1044</v>
      </c>
      <c r="J17" s="500">
        <f>Datos!$E$34</f>
        <v>10000</v>
      </c>
      <c r="K17" s="491">
        <f>Datos!$I$38</f>
        <v>0.91498926168697547</v>
      </c>
      <c r="L17" s="501">
        <f>IF(J17=0,0,IF(J17&lt;=$J$6,$M$6+$N$6*J17+$O$6*J17^2+$P$6*J17^3+$Q$6*J17^4,IF(J17&gt;$J$7,$M$7+$N$7*J17+$O$7*J17^2+$P$7*J17^3+$Q$7*J17^4,$M$7+$N$7*J17+$O$7*J17^2+$P$7*J17^3+$Q$7*J17^4)))</f>
        <v>1.25</v>
      </c>
      <c r="M17" s="492">
        <f>IF(K17&gt;=L17,K17,IF(K17&lt;=L17,L17,L17))</f>
        <v>1.25</v>
      </c>
    </row>
    <row r="18" spans="2:13" x14ac:dyDescent="0.25">
      <c r="B18" s="486"/>
      <c r="C18" s="506">
        <v>100</v>
      </c>
      <c r="D18" s="507">
        <f>0.0003*(C18) + 0.023</f>
        <v>5.2999999999999999E-2</v>
      </c>
      <c r="E18" s="486"/>
      <c r="I18" s="489" t="s">
        <v>1045</v>
      </c>
      <c r="J18" s="500">
        <f>Datos!$E$44</f>
        <v>2000</v>
      </c>
      <c r="K18" s="491">
        <f>Datos!$I$48</f>
        <v>0.91498926168697547</v>
      </c>
      <c r="L18" s="501">
        <f>IF(J18=0,0,IF(J18&lt;=$J$6,$M$6+$N$6*J18+$O$6*J18^2+$P$6*J18^3+$Q$6*J18^4,IF(J18&gt;$J$7,$M$7+$N$7*J18+$O$7*J18^2+$P$7*J18^3+$Q$7*J18^4,$M$7+$N$7*J18+$O$7*J18^2+$P$7*J18^3+$Q$7*J18^4)))</f>
        <v>0.25</v>
      </c>
      <c r="M18" s="492">
        <f>IF(K18&gt;=L18,K18,IF(K18&lt;=L18,L18,L18))</f>
        <v>0.91498926168697547</v>
      </c>
    </row>
    <row r="19" spans="2:13" x14ac:dyDescent="0.25">
      <c r="B19" s="486"/>
      <c r="C19" s="506">
        <v>250</v>
      </c>
      <c r="D19" s="507">
        <f>0.0003*(C19) + 0.023</f>
        <v>9.8000000000000004E-2</v>
      </c>
      <c r="E19" s="486"/>
      <c r="I19" s="489" t="s">
        <v>1046</v>
      </c>
      <c r="J19" s="500">
        <f>Datos!$E$55</f>
        <v>10</v>
      </c>
      <c r="K19" s="491">
        <f>Datos!$I$59</f>
        <v>0.91498926168697547</v>
      </c>
      <c r="L19" s="501">
        <f>IF(J19=0,0,IF(J19&lt;=$J$6,$M$6+$N$6*J19+$O$6*J19^2+$P$6*J19^3+$Q$6*J19^4,IF(J19&gt;$J$7,$M$7+$N$7*J19+$O$7*J19^2+$P$7*J19^3+$Q$7*J19^4,$M$7+$N$7*J19+$O$7*J19^2+$P$7*J19^3+$Q$7*J19^4)))</f>
        <v>2.5999999999999999E-2</v>
      </c>
      <c r="M19" s="492">
        <f>IF(K19&gt;=L19,K19,IF(K19&lt;=L19,L19,L19))</f>
        <v>0.91498926168697547</v>
      </c>
    </row>
    <row r="20" spans="2:13" ht="13.8" thickBot="1" x14ac:dyDescent="0.3">
      <c r="B20" s="486"/>
      <c r="E20" s="486"/>
      <c r="I20" s="489" t="s">
        <v>1047</v>
      </c>
      <c r="J20" s="500">
        <f>Datos!E66</f>
        <v>10</v>
      </c>
      <c r="K20" s="491">
        <f>Datos!$I$70</f>
        <v>0.91498926168697547</v>
      </c>
      <c r="L20" s="501">
        <f>IF(J20=0,0,IF(J20&lt;=$J$6,$M$6+$N$6*J20+$O$6*J20^2+$P$6*J20^3+$Q$6*J20^4,IF(J20&gt;$J$7,$M$7+$N$7*J20+$O$7*J20^2+$P$7*J20^3+$Q$7*J20^4,$M$7+$N$7*J20+$O$7*J20^2+$P$7*J20^3+$Q$7*J20^4)))</f>
        <v>2.5999999999999999E-2</v>
      </c>
      <c r="M20" s="492">
        <f>IF(K20&gt;=L20,K20,IF(K20&lt;=L20,L20,L20))</f>
        <v>0.91498926168697547</v>
      </c>
    </row>
    <row r="21" spans="2:13" ht="13.8" thickBot="1" x14ac:dyDescent="0.3">
      <c r="B21" s="486"/>
      <c r="C21" s="498" t="s">
        <v>1061</v>
      </c>
      <c r="D21" s="502" t="s">
        <v>1056</v>
      </c>
      <c r="E21" s="486"/>
      <c r="I21" s="489" t="s">
        <v>1048</v>
      </c>
      <c r="J21" s="490"/>
      <c r="K21" s="491"/>
      <c r="L21" s="492"/>
      <c r="M21" s="492"/>
    </row>
    <row r="22" spans="2:13" ht="13.8" thickBot="1" x14ac:dyDescent="0.3">
      <c r="B22" s="486"/>
      <c r="C22" s="503">
        <v>2000</v>
      </c>
      <c r="D22" s="504">
        <f>0.000125*(C22)</f>
        <v>0.25</v>
      </c>
      <c r="E22" s="486"/>
      <c r="I22" s="489" t="s">
        <v>1049</v>
      </c>
      <c r="J22" s="490"/>
      <c r="K22" s="491"/>
      <c r="L22" s="492"/>
      <c r="M22" s="492"/>
    </row>
    <row r="23" spans="2:13" x14ac:dyDescent="0.25">
      <c r="B23" s="486"/>
      <c r="E23" s="486"/>
      <c r="I23" s="489" t="s">
        <v>1050</v>
      </c>
      <c r="J23" s="490"/>
      <c r="K23" s="491"/>
      <c r="L23" s="492"/>
      <c r="M23" s="492"/>
    </row>
    <row r="24" spans="2:13" x14ac:dyDescent="0.25">
      <c r="B24" s="486"/>
      <c r="C24" s="505" t="s">
        <v>1061</v>
      </c>
      <c r="D24" s="505" t="s">
        <v>1063</v>
      </c>
      <c r="E24" s="486"/>
      <c r="I24" s="489" t="s">
        <v>1051</v>
      </c>
      <c r="J24" s="490"/>
      <c r="K24" s="491"/>
      <c r="L24" s="492"/>
      <c r="M24" s="492"/>
    </row>
    <row r="25" spans="2:13" x14ac:dyDescent="0.25">
      <c r="B25" s="486"/>
      <c r="C25" s="508">
        <v>2000</v>
      </c>
      <c r="D25" s="507">
        <f>0.000125*(C25)</f>
        <v>0.25</v>
      </c>
      <c r="E25" s="486"/>
      <c r="I25" s="489" t="s">
        <v>1052</v>
      </c>
      <c r="J25" s="490"/>
      <c r="K25" s="491"/>
      <c r="L25" s="492"/>
      <c r="M25" s="492"/>
    </row>
    <row r="26" spans="2:13" x14ac:dyDescent="0.25">
      <c r="C26" s="508">
        <v>10000</v>
      </c>
      <c r="D26" s="507">
        <f>0.000125*(C26)</f>
        <v>1.25</v>
      </c>
    </row>
    <row r="27" spans="2:13" x14ac:dyDescent="0.25">
      <c r="C27" s="508">
        <v>20000</v>
      </c>
      <c r="D27" s="507">
        <f>0.000125*(C27)</f>
        <v>2.5</v>
      </c>
    </row>
  </sheetData>
  <mergeCells count="10">
    <mergeCell ref="E8:F8"/>
    <mergeCell ref="E7:F7"/>
    <mergeCell ref="B3:D3"/>
    <mergeCell ref="I4:J4"/>
    <mergeCell ref="K4:L4"/>
    <mergeCell ref="B5:C5"/>
    <mergeCell ref="D5:F5"/>
    <mergeCell ref="B6:C6"/>
    <mergeCell ref="B7:C7"/>
    <mergeCell ref="E6:F6"/>
  </mergeCells>
  <phoneticPr fontId="47" type="noConversion"/>
  <conditionalFormatting sqref="K16:M20">
    <cfRule type="colorScale" priority="1">
      <colorScale>
        <cfvo type="min"/>
        <cfvo type="percentile" val="50"/>
        <cfvo type="max"/>
        <color theme="3" tint="0.39997558519241921"/>
        <color rgb="FFFCFCFF"/>
        <color rgb="FFFF000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3B9D-420F-4A35-A2C7-8CC5EB3C5280}">
  <dimension ref="A1:BE260"/>
  <sheetViews>
    <sheetView topLeftCell="A7" zoomScale="70" zoomScaleNormal="70" workbookViewId="0">
      <selection activeCell="G24" sqref="G24"/>
    </sheetView>
  </sheetViews>
  <sheetFormatPr baseColWidth="10" defaultRowHeight="13.2" x14ac:dyDescent="0.25"/>
  <cols>
    <col min="1" max="1" width="17.6640625" customWidth="1"/>
    <col min="2" max="2" width="14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94" t="s">
        <v>47</v>
      </c>
      <c r="AJ1" s="594"/>
      <c r="AK1" s="594"/>
      <c r="AL1" s="594"/>
      <c r="AN1" s="594" t="s">
        <v>48</v>
      </c>
      <c r="AO1" s="594"/>
      <c r="AP1" s="594"/>
      <c r="AQ1" s="594"/>
      <c r="AV1" s="585" t="s">
        <v>14</v>
      </c>
      <c r="AW1" s="585"/>
      <c r="AX1" s="585"/>
      <c r="AY1" s="585"/>
      <c r="AZ1" s="585"/>
      <c r="BA1" s="585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602">
        <f>AO14</f>
        <v>4.1721998668247425E-5</v>
      </c>
      <c r="K2" s="603"/>
      <c r="L2" s="73"/>
      <c r="M2" s="76" t="s">
        <v>133</v>
      </c>
      <c r="W2" s="7" t="s">
        <v>30</v>
      </c>
    </row>
    <row r="3" spans="1:57" s="7" customFormat="1" ht="30.75" customHeight="1" x14ac:dyDescent="0.4">
      <c r="A3" s="312"/>
      <c r="B3" s="623" t="s">
        <v>227</v>
      </c>
      <c r="C3" s="623"/>
      <c r="D3" s="310"/>
      <c r="E3" s="310"/>
      <c r="G3" s="619" t="s">
        <v>1</v>
      </c>
      <c r="H3" s="620"/>
      <c r="I3" s="10"/>
      <c r="J3" s="30">
        <f>Datos!N26-M144</f>
        <v>-8.8060836501901149E-2</v>
      </c>
      <c r="K3" s="30">
        <f>Datos!O26-R144</f>
        <v>-8.6539923954372627E-2</v>
      </c>
      <c r="L3" s="67">
        <v>0.01</v>
      </c>
      <c r="M3" s="156">
        <f>AVERAGE(J3:K3)</f>
        <v>-8.7300380228136881E-2</v>
      </c>
      <c r="W3" s="7" t="s">
        <v>31</v>
      </c>
      <c r="AV3" s="568" t="s">
        <v>172</v>
      </c>
      <c r="AW3" s="568"/>
      <c r="AX3" s="568"/>
      <c r="AY3" s="568"/>
      <c r="AZ3" s="568"/>
      <c r="BA3" s="568"/>
      <c r="BB3" s="568"/>
      <c r="BC3" s="568"/>
      <c r="BD3" s="568"/>
      <c r="BE3" s="56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621" t="s">
        <v>12</v>
      </c>
      <c r="H4" s="622"/>
      <c r="I4" s="29"/>
      <c r="J4" s="30">
        <f>Datos!N27-M162</f>
        <v>0.61162790697674441</v>
      </c>
      <c r="K4" s="30">
        <f>Datos!O27-R162</f>
        <v>0.48372093023255824</v>
      </c>
      <c r="L4" s="67">
        <f>Datos!P27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617" t="s">
        <v>23</v>
      </c>
      <c r="H5" s="618"/>
      <c r="I5" s="18"/>
      <c r="J5" s="30">
        <f>Datos!N28-M177</f>
        <v>0</v>
      </c>
      <c r="K5" s="30">
        <f>Datos!O28-R177</f>
        <v>0</v>
      </c>
      <c r="L5" s="67">
        <f>Datos!P28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72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604" t="s">
        <v>44</v>
      </c>
      <c r="AP6" s="604"/>
      <c r="AV6" s="184" t="s">
        <v>164</v>
      </c>
      <c r="AW6" s="573"/>
      <c r="AX6" s="183" t="s">
        <v>167</v>
      </c>
      <c r="AY6" s="162" t="s">
        <v>161</v>
      </c>
      <c r="AZ6" s="163"/>
      <c r="BA6" s="164">
        <f>IF(Datos!N5=Datos!$S$8,MAX(E245:E247)/1000000,IF(Datos!N5=Datos!$S$9,MAX(P245:P247)/1000,IF(Datos!N5=Datos!$S$10,MAX(AF245:AF247))))</f>
        <v>2.0000000000000001E-4</v>
      </c>
      <c r="BB6" s="165" t="s">
        <v>9</v>
      </c>
      <c r="BC6" s="185">
        <v>1</v>
      </c>
      <c r="BD6" s="166">
        <f>BA6*BC6</f>
        <v>2.0000000000000001E-4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73"/>
      <c r="AX7" s="169" t="s">
        <v>136</v>
      </c>
      <c r="AY7" s="169" t="s">
        <v>168</v>
      </c>
      <c r="AZ7" s="169"/>
      <c r="BA7" s="170">
        <f>IF(Datos!N5=Datos!$S$8,(Datos!I12/1000000)*SQRT(12),IF(Datos!N5=Datos!$S$9,(Datos!I12/1000)/SQRT(12),IF(Datos!N5=Datos!$S$10,Datos!I12/SQRT(12))))</f>
        <v>2.8867513459481293E-5</v>
      </c>
      <c r="BB7" s="171" t="str">
        <f>BB6</f>
        <v>kg</v>
      </c>
      <c r="BC7" s="186">
        <v>1</v>
      </c>
      <c r="BD7" s="172">
        <f>BA7*BC7</f>
        <v>2.8867513459481293E-5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192" t="s">
        <v>166</v>
      </c>
      <c r="AW8" s="573"/>
      <c r="AX8" s="174"/>
      <c r="AY8" s="174"/>
      <c r="AZ8" s="174"/>
      <c r="BA8" s="175"/>
      <c r="BB8" s="176"/>
      <c r="BC8" s="193"/>
      <c r="BD8" s="175"/>
      <c r="BE8" s="177"/>
    </row>
    <row r="9" spans="1:57" s="7" customFormat="1" ht="18" customHeight="1" x14ac:dyDescent="0.45">
      <c r="A9" s="127"/>
      <c r="B9" s="290"/>
      <c r="C9" s="209"/>
      <c r="D9" s="299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194"/>
      <c r="AW9" s="574"/>
      <c r="AX9" s="178"/>
      <c r="AY9" s="178"/>
      <c r="AZ9" s="178"/>
      <c r="BA9" s="179"/>
      <c r="BB9" s="180"/>
      <c r="BC9" s="195"/>
      <c r="BD9" s="179"/>
      <c r="BE9" s="181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69" t="s">
        <v>162</v>
      </c>
      <c r="AW10" s="570"/>
      <c r="AX10" s="570"/>
      <c r="AY10" s="570"/>
      <c r="AZ10" s="570"/>
      <c r="BA10" s="570"/>
      <c r="BB10" s="570"/>
      <c r="BC10" s="571"/>
      <c r="BD10" s="265">
        <f>SQRT(SUMSQ(BD6:BD7))</f>
        <v>2.0207259421636903E-4</v>
      </c>
      <c r="BE10" s="182">
        <f>BD10^4/((BD6^4/BE6)+(BD7^4/BE7))</f>
        <v>104.16485900216924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606" t="s">
        <v>36</v>
      </c>
      <c r="O11" s="606"/>
      <c r="P11" s="595" t="s">
        <v>36</v>
      </c>
      <c r="Q11" s="595"/>
      <c r="R11" s="596" t="s">
        <v>36</v>
      </c>
      <c r="S11" s="596"/>
      <c r="T11" s="597" t="s">
        <v>36</v>
      </c>
      <c r="U11" s="597"/>
      <c r="V11" s="598" t="s">
        <v>36</v>
      </c>
      <c r="W11" s="598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565"/>
      <c r="J12" s="565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68" t="s">
        <v>173</v>
      </c>
      <c r="AW12" s="568"/>
      <c r="AX12" s="568"/>
      <c r="AY12" s="568"/>
      <c r="AZ12" s="568"/>
      <c r="BA12" s="568"/>
      <c r="BB12" s="568"/>
      <c r="BC12" s="568"/>
      <c r="BD12" s="568"/>
      <c r="BE12" s="56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36"/>
      <c r="E14" s="92"/>
      <c r="F14" s="322"/>
      <c r="G14" s="12"/>
      <c r="H14" s="323"/>
      <c r="I14" s="290"/>
      <c r="J14" s="324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72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G15" s="325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73"/>
      <c r="AX15" s="183" t="s">
        <v>167</v>
      </c>
      <c r="AY15" s="162" t="s">
        <v>161</v>
      </c>
      <c r="AZ15" s="163"/>
      <c r="BA15" s="164">
        <f>IF(Datos!N5=Datos!$S$8,MAX(J245:J247)/1000000,IF(Datos!N5=Datos!$S$9,MAX(U245:U247)/1000,IF(Datos!N5=Datos!$S$10,MAX(AF245:AF247))))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106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73"/>
      <c r="AX16" s="169" t="s">
        <v>136</v>
      </c>
      <c r="AY16" s="169" t="s">
        <v>168</v>
      </c>
      <c r="AZ16" s="169"/>
      <c r="BA16" s="170">
        <f>BA7</f>
        <v>2.8867513459481293E-5</v>
      </c>
      <c r="BB16" s="171" t="str">
        <f>BB15</f>
        <v>kg</v>
      </c>
      <c r="BC16" s="186">
        <v>1</v>
      </c>
      <c r="BD16" s="172">
        <f>BA16*BC16</f>
        <v>2.8867513459481293E-5</v>
      </c>
      <c r="BE16" s="173">
        <v>100</v>
      </c>
    </row>
    <row r="17" spans="1:57" ht="29.4" thickTop="1" x14ac:dyDescent="0.3">
      <c r="A17" s="612" t="s">
        <v>2</v>
      </c>
      <c r="B17" s="1" t="s">
        <v>16</v>
      </c>
      <c r="C17" s="2"/>
      <c r="D17" s="13" t="s">
        <v>3</v>
      </c>
      <c r="E17" s="3" t="s">
        <v>4</v>
      </c>
      <c r="F17" s="615" t="s">
        <v>5</v>
      </c>
      <c r="G17" s="616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605" t="s">
        <v>46</v>
      </c>
      <c r="AD17" s="605"/>
      <c r="AE17" s="605"/>
      <c r="AF17" s="605"/>
      <c r="AV17" s="192" t="s">
        <v>166</v>
      </c>
      <c r="AW17" s="573"/>
      <c r="AX17" s="174"/>
      <c r="AY17" s="174"/>
      <c r="AZ17" s="174"/>
      <c r="BA17" s="175"/>
      <c r="BB17" s="176"/>
      <c r="BC17" s="193"/>
      <c r="BD17" s="175"/>
      <c r="BE17" s="177"/>
    </row>
    <row r="18" spans="1:57" ht="15.6" x14ac:dyDescent="0.3">
      <c r="A18" s="613"/>
      <c r="B18" s="4" t="s">
        <v>6</v>
      </c>
      <c r="C18" s="4" t="s">
        <v>7</v>
      </c>
      <c r="D18" s="14" t="s">
        <v>8</v>
      </c>
      <c r="E18" s="4" t="s">
        <v>8</v>
      </c>
      <c r="F18" s="615"/>
      <c r="G18" s="616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194"/>
      <c r="AW18" s="574"/>
      <c r="AX18" s="178"/>
      <c r="AY18" s="178"/>
      <c r="AZ18" s="178"/>
      <c r="BA18" s="179"/>
      <c r="BB18" s="180"/>
      <c r="BC18" s="195"/>
      <c r="BD18" s="179"/>
      <c r="BE18" s="181"/>
    </row>
    <row r="19" spans="1:57" ht="18.600000000000001" thickBot="1" x14ac:dyDescent="0.35">
      <c r="A19" s="614"/>
      <c r="B19" s="5" t="b">
        <f>IF(Datos!N5=1,"kg",IF(Datos!N5=2,"kg",IF(Datos!N5=3,"kg")))</f>
        <v>0</v>
      </c>
      <c r="C19" s="5" t="b">
        <f>B19</f>
        <v>0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69" t="s">
        <v>162</v>
      </c>
      <c r="AW19" s="570"/>
      <c r="AX19" s="570"/>
      <c r="AY19" s="570"/>
      <c r="AZ19" s="570"/>
      <c r="BA19" s="570"/>
      <c r="BB19" s="570"/>
      <c r="BC19" s="571"/>
      <c r="BD19" s="265">
        <f>SQRT(SUMSQ(BD15:BD16))</f>
        <v>2.8867513459481293E-5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IF(Datos!$N$5=Datos!$S$8,(IF(Datos!$N$5=Datos!$S$8,Datos!D27/1000,IF(Datos!$N$5=Datos!$S$9,Datos!D27/1000,IF(Datos!$N$5=Datos!$S$10,Datos!D27," Error "))))-'punto 1'!$Y$144/1000000,IF(Datos!$N$5=Datos!$S$9,(IF(Datos!$N$5=Datos!$S$8,Datos!D27/1000000,IF(Datos!$N$5=Datos!$S$9,Datos!D27/1000,IF(Datos!$N$5=Datos!$S$10,Datos!D27," Error "))))-'punto 1'!$AJ$144/1000,IF(Datos!$N$5=Datos!$S$10,(IF(Datos!$N$5=Datos!$S$8,Datos!D27/1000000,IF(Datos!$N$5=Datos!$S$9,Datos!D27/1000,IF(Datos!$N$5=Datos!$S$10,Datos!D27," Error "))))-'punto 1'!$AU$144)))</f>
        <v>0</v>
      </c>
      <c r="C20" s="157">
        <f>IF(Datos!$N$5=Datos!$S$8,(IF(Datos!$N$5=Datos!$S$8,Datos!E27/1000,IF(Datos!$N$5=Datos!$S$9,Datos!E27/1000,IF(Datos!$N$5=Datos!$S$10,Datos!E27," Error "))))-'punto 1'!$AD$144/1000000,IF(Datos!$N$5=Datos!$S$9,(IF(Datos!$N$5=Datos!$S$8,Datos!E27/1000000,IF(Datos!$N$5=Datos!$S$9,Datos!E27/1000,IF(Datos!$N$5=Datos!S10,Datos!E27," Error "))))-'punto 1'!$AO$144/1000,IF(Datos!$N$5=Datos!$S$9,(IF(Datos!$N$5=Datos!$S$8,Datos!E27/1000000,IF(Datos!$N$5=Datos!S9,Datos!E27/1000,IF(Datos!$N$5=Datos!$S$10,Datos!E27," Error "))))-'punto 1'!$AZ$144)))</f>
        <v>0</v>
      </c>
      <c r="D20" s="109">
        <f>Datos!F27-E144</f>
        <v>3.7058964238727427E-3</v>
      </c>
      <c r="E20" s="59">
        <f>O18*1000</f>
        <v>999.85331435241267</v>
      </c>
      <c r="F20" s="317">
        <f>(((B20-C20))/8000)*((1/(E20-($J$2)))*(8000-$J$2)*(1-Datos!$K$8*(D20-20)))</f>
        <v>0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IF(Datos!$N$5=Datos!$S$8,(IF(Datos!$N$5=Datos!$S$8,Datos!D28/1000,IF(Datos!$N$5=Datos!$S$9,Datos!D28/1000,IF(Datos!$N$5=Datos!$S$10,Datos!D28," Error "))))-'punto 1'!$Y$164/1000000,IF(Datos!$N$5=Datos!$S$9,(IF(Datos!$N$5=Datos!$S$8,Datos!D28/1000000,IF(Datos!$N$5=Datos!$S$9,Datos!D28/1000,IF(Datos!$N$5=Datos!$S$10,Datos!D28," Error "))))-'punto 1'!$AJ$164/1000,IF(Datos!$N$5=Datos!$S$10,(IF(Datos!$N$5=Datos!$S$8,Datos!D28/1000000,IF(Datos!$N$5=Datos!$S$9,Datos!D28/1000,IF(Datos!$N$5=Datos!$S$10,Datos!D28," Error "))))-'punto 1'!$AU$164)))</f>
        <v>0</v>
      </c>
      <c r="C21" s="157">
        <f>IF(Datos!$N$5=Datos!$S$8,(IF(Datos!$N$5=Datos!$S$8,Datos!E28/1000,IF(Datos!$N$5=Datos!$S$9,Datos!E28/1000,IF(Datos!$N$5=Datos!$S$10,Datos!E28," Error "))))-'punto 1'!$AD$164/1000000,IF(Datos!$N$5=Datos!$S$9,(IF(Datos!$N$5=Datos!$S$8,Datos!E28/1000000,IF(Datos!$N$5=Datos!$S$9,Datos!E28/1000,IF(Datos!$N$5=Datos!S11,Datos!E28," Error "))))-'punto 1'!$AO$164/1000,IF(Datos!$N$5=Datos!$S$9,(IF(Datos!$N$5=Datos!$S$8,Datos!E28/1000000,IF(Datos!$N$5=Datos!S10,Datos!E28/1000,IF(Datos!$N$5=Datos!$S$10,Datos!E28," Error "))))-'punto 1'!$AZ$164)))</f>
        <v>0</v>
      </c>
      <c r="D21" s="109">
        <f>Datos!F28-E161</f>
        <v>3.7052984092811867E-3</v>
      </c>
      <c r="E21" s="59">
        <f>Q18*1000</f>
        <v>999.85331431461441</v>
      </c>
      <c r="F21" s="317">
        <f>(((B21-C21))/8000)*((1/(E21-($J$2)))*(8000-$J$2)*(1-Datos!$K$8*(D21-20)))</f>
        <v>0</v>
      </c>
      <c r="G21" s="562" t="s">
        <v>15</v>
      </c>
      <c r="H21" s="562" t="s">
        <v>17</v>
      </c>
      <c r="I21" s="280"/>
      <c r="J21" s="589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68" t="s">
        <v>177</v>
      </c>
      <c r="AW21" s="568"/>
      <c r="AX21" s="568"/>
      <c r="AY21" s="568"/>
      <c r="AZ21" s="568"/>
      <c r="BA21" s="568"/>
      <c r="BB21" s="568"/>
      <c r="BC21" s="568"/>
      <c r="BD21" s="568"/>
      <c r="BE21" s="568"/>
    </row>
    <row r="22" spans="1:57" ht="50.4" x14ac:dyDescent="0.3">
      <c r="A22" s="9">
        <v>3</v>
      </c>
      <c r="B22" s="157">
        <f>IF(Datos!$N$5=Datos!$S$8,(IF(Datos!$N$5=Datos!$S$8,Datos!D29/1000,IF(Datos!$N$5=Datos!$S$9,Datos!D29/1000,IF(Datos!$N$5=Datos!$S$10,Datos!D29," Error "))))-'punto 1'!$Y$184/1000000,IF(Datos!$N$5=Datos!$S$9,(IF(Datos!$N$5=Datos!$S$8,Datos!D29/1000000,IF(Datos!$N$5=Datos!$S$9,Datos!D29/1000,IF(Datos!$N$5=Datos!$S$10,Datos!D29," Error "))))-'punto 1'!$AJ$184/1000,IF(Datos!$N$5=Datos!$S$10,(IF(Datos!$N$5=Datos!$S$8,Datos!D29/1000000,IF(Datos!$N$5=Datos!$S$9,Datos!D29/1000,IF(Datos!$N$5=Datos!$S$10,Datos!D29," Error "))))-'punto 1'!$AU$184)))</f>
        <v>0</v>
      </c>
      <c r="C22" s="157">
        <f>IF(Datos!$N$5=Datos!$S$8,(IF(Datos!$N$5=Datos!$S$8,Datos!E29/1000,IF(Datos!$N$5=Datos!$S$9,Datos!E29/1000,IF(Datos!$N$5=Datos!$S$10,Datos!E29," Error "))))-'punto 1'!$AD$184/1000000,IF(Datos!$N$5=Datos!$S$9,(IF(Datos!$N$5=Datos!$S$8,Datos!E29/1000000,IF(Datos!$N$5=Datos!$S$9,Datos!E29/1000,IF(Datos!$N$5=Datos!S12,Datos!E29," Error "))))-'punto 1'!$AO$184/1000,IF(Datos!$N$5=Datos!$S$9,(IF(Datos!$N$5=Datos!$S$8,Datos!E29/1000000,IF(Datos!$N$5=Datos!S11,Datos!E29/1000,IF(Datos!$N$5=Datos!$S$10,Datos!E29," Error "))))-'punto 1'!$AZ$184)))</f>
        <v>0</v>
      </c>
      <c r="D22" s="109">
        <f>Datos!F29-E178</f>
        <v>3.7052984092811867E-3</v>
      </c>
      <c r="E22" s="59">
        <f>S18*1000</f>
        <v>999.85331431461441</v>
      </c>
      <c r="F22" s="317">
        <f>(((B22-C22))/8000)*((1/(E22-($J$2)))*(8000-$J$2)*(1-Datos!$K$8*(D22-20)))</f>
        <v>0</v>
      </c>
      <c r="G22" s="562"/>
      <c r="H22" s="562"/>
      <c r="I22" s="281"/>
      <c r="J22" s="589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IF(Datos!$N$5=Datos!$S$8,(IF(Datos!$N$5=Datos!$S$8,Datos!D30/1000,IF(Datos!$N$5=Datos!$S$9,Datos!D30/1000,IF(Datos!$N$5=Datos!$S$10,Datos!D30," Error "))))-'punto 1'!$Y$204/1000000,IF(Datos!$N$5=Datos!$S$9,(IF(Datos!$N$5=Datos!$S$8,Datos!D30/1000000,IF(Datos!$N$5=Datos!$S$9,Datos!D30/1000,IF(Datos!$N$5=Datos!$S$10,Datos!D30," Error "))))-'punto 1'!$AJ$204/1000,IF(Datos!$N$5=Datos!$S$10,(IF(Datos!$N$5=Datos!$S$8,Datos!D30/1000000,IF(Datos!$N$5=Datos!$S$9,Datos!D30/1000,IF(Datos!$N$5=Datos!$S$10,Datos!D30," Error "))))-'punto 1'!$AU$204)))</f>
        <v>0</v>
      </c>
      <c r="C23" s="157">
        <f>IF(Datos!$N$5=Datos!$S$8,(IF(Datos!$N$5=Datos!$S$8,Datos!E30/1000,IF(Datos!$N$5=Datos!$S$9,Datos!E30/1000,IF(Datos!$N$5=Datos!$S$10,Datos!E30," Error "))))-'punto 1'!$AD$204/1000000,IF(Datos!$N$5=Datos!$S$9,(IF(Datos!$N$5=Datos!$S$8,Datos!E30/1000000,IF(Datos!$N$5=Datos!$S$9,Datos!E30/1000,IF(Datos!$N$5=Datos!S13,Datos!E30," Error "))))-'punto 1'!$AO$204/1000,IF(Datos!$N$5=Datos!$S$9,(IF(Datos!$N$5=Datos!$S$8,Datos!E30/1000000,IF(Datos!$N$5=Datos!S12,Datos!E30/1000,IF(Datos!$N$5=Datos!$S$10,Datos!E30," Error "))))-'punto 1'!$AZ$204)))</f>
        <v>0</v>
      </c>
      <c r="D23" s="109">
        <f>Datos!F30-E195</f>
        <v>3.7056572180361202E-3</v>
      </c>
      <c r="E23" s="79">
        <f>U18*1000</f>
        <v>999.85331433729334</v>
      </c>
      <c r="F23" s="317">
        <f>(((B23-C23))/8000)*((1/(E23-($J$2)))*(8000-$J$2)*(1-Datos!$K$8*(D23-20)))</f>
        <v>0</v>
      </c>
      <c r="G23" s="563" t="s">
        <v>13</v>
      </c>
      <c r="H23" s="564"/>
      <c r="I23" s="273"/>
      <c r="J23" s="278"/>
      <c r="AE23" s="25" t="s">
        <v>18</v>
      </c>
      <c r="AF23" s="25">
        <f>AVERAGE(AF18:AF22)</f>
        <v>999.83551560855381</v>
      </c>
      <c r="AV23" s="134"/>
      <c r="AW23" s="572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IF(Datos!$N$5=Datos!$S$8,(IF(Datos!$N$5=Datos!$S$8,Datos!D31/1000,IF(Datos!$N$5=Datos!$S$9,Datos!D31/1000,IF(Datos!$N$5=Datos!$S$10,Datos!D31," Error "))))-'punto 1'!$Y$224/1000000,IF(Datos!$N$5=Datos!$S$9,(IF(Datos!$N$5=Datos!$S$8,Datos!D31/1000000,IF(Datos!$N$5=Datos!$S$9,Datos!D31/1000,IF(Datos!$N$5=Datos!$S$10,Datos!D31," Error "))))-'punto 1'!$AJ$224/1000,IF(Datos!$N$5=Datos!$S$10,(IF(Datos!$N$5=Datos!$S$8,Datos!D31/1000000,IF(Datos!$N$5=Datos!$S$9,Datos!D31/1000,IF(Datos!$N$5=Datos!$S$10,Datos!D31," Error "))))-'punto 1'!$AU$224)))</f>
        <v>0</v>
      </c>
      <c r="C24" s="157">
        <f>IF(Datos!$N$5=Datos!$S$8,(IF(Datos!$N$5=Datos!$S$8,Datos!E31/1000,IF(Datos!$N$5=Datos!$S$9,Datos!E31/1000,IF(Datos!$N$5=Datos!$S$10,Datos!E31," Error "))))-'punto 1'!$AD$224/1000000,IF(Datos!$N$5=Datos!$S$9,(IF(Datos!$N$5=Datos!$S$8,Datos!E31/1000000,IF(Datos!$N$5=Datos!$S$9,Datos!E31/1000,IF(Datos!$N$5=Datos!S14,Datos!E31," Error "))))-'punto 1'!$AO$224/1000,IF(Datos!$N$5=Datos!$S$9,(IF(Datos!$N$5=Datos!$S$8,Datos!E31/1000000,IF(Datos!$N$5=Datos!S13,Datos!E31/1000,IF(Datos!$N$5=Datos!$S$10,Datos!E31," Error "))))-'punto 1'!$AZ$224)))</f>
        <v>0</v>
      </c>
      <c r="D24" s="109">
        <f>Datos!F31-E212</f>
        <v>3.7057369533149941E-3</v>
      </c>
      <c r="E24" s="79">
        <f>W18*1000</f>
        <v>999.85331434233319</v>
      </c>
      <c r="F24" s="317">
        <f>(((B24-C24))/8000)*((1/(E24-($J$2)))*(8000-$J$2)*(1-Datos!$K$8*(D24-20)))</f>
        <v>0</v>
      </c>
      <c r="G24" s="319">
        <f>IF(Datos!U4=Datos!$U$5,AVERAGE(F20:F24)*1000000,IF(Datos!U4=Datos!$U$6,AVERAGE(F20:F24)*1000000))</f>
        <v>0</v>
      </c>
      <c r="H24" s="318">
        <f>G24-Datos!E23</f>
        <v>-10</v>
      </c>
      <c r="I24" s="277"/>
      <c r="J24" s="279"/>
      <c r="AV24" s="184" t="s">
        <v>164</v>
      </c>
      <c r="AW24" s="573"/>
      <c r="AX24" s="183" t="s">
        <v>3</v>
      </c>
      <c r="AY24" s="162" t="s">
        <v>161</v>
      </c>
      <c r="AZ24" s="163" t="s">
        <v>184</v>
      </c>
      <c r="BA24" s="164">
        <f>BD36</f>
        <v>6.5064811654411567E-2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-3.3891194844090821E-7</v>
      </c>
      <c r="BE24" s="167">
        <f>BE36</f>
        <v>100.39904723919487</v>
      </c>
    </row>
    <row r="25" spans="1:57" ht="19.8" thickTop="1" x14ac:dyDescent="0.3">
      <c r="A25" s="86"/>
      <c r="B25" s="93"/>
      <c r="C25" s="93"/>
      <c r="D25" s="110"/>
      <c r="E25" s="111"/>
      <c r="F25" s="112"/>
      <c r="J25" s="64"/>
      <c r="AV25" s="168" t="s">
        <v>165</v>
      </c>
      <c r="AW25" s="573"/>
      <c r="AX25" s="169" t="s">
        <v>129</v>
      </c>
      <c r="AY25" s="169" t="s">
        <v>168</v>
      </c>
      <c r="AZ25" s="169" t="s">
        <v>184</v>
      </c>
      <c r="BA25" s="170">
        <f>BD44</f>
        <v>6.0719017313811798E-3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4.625592639434324E-7</v>
      </c>
      <c r="BE25" s="173">
        <f>BE44</f>
        <v>169.15646554379103</v>
      </c>
    </row>
    <row r="26" spans="1:57" ht="28.8" x14ac:dyDescent="0.3">
      <c r="A26" s="86"/>
      <c r="B26" s="93"/>
      <c r="C26" s="93"/>
      <c r="D26" s="110"/>
      <c r="E26" s="106"/>
      <c r="F26" s="112"/>
      <c r="G26" s="94"/>
      <c r="AV26" s="210" t="s">
        <v>166</v>
      </c>
      <c r="AW26" s="573"/>
      <c r="AX26" s="174" t="s">
        <v>132</v>
      </c>
      <c r="AY26" s="174" t="s">
        <v>169</v>
      </c>
      <c r="AZ26" s="174" t="s">
        <v>184</v>
      </c>
      <c r="BA26" s="175">
        <f>BD52</f>
        <v>0.12</v>
      </c>
      <c r="BB26" s="176" t="str">
        <f>BB25</f>
        <v>kg</v>
      </c>
      <c r="BC26" s="193">
        <f>0.348444/(273.15+M3)</f>
        <v>1.2760585773347783E-3</v>
      </c>
      <c r="BD26" s="175">
        <f>BA26*BC26</f>
        <v>1.5312702928017339E-4</v>
      </c>
      <c r="BE26" s="177">
        <f>BE52</f>
        <v>100</v>
      </c>
    </row>
    <row r="27" spans="1:57" ht="19.2" x14ac:dyDescent="0.3">
      <c r="A27" s="86"/>
      <c r="B27" s="93"/>
      <c r="C27" s="93"/>
      <c r="D27" s="110"/>
      <c r="E27" s="106"/>
      <c r="F27" s="112"/>
      <c r="G27" s="94"/>
      <c r="AV27" s="194" t="s">
        <v>183</v>
      </c>
      <c r="AW27" s="574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175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106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69" t="s">
        <v>162</v>
      </c>
      <c r="AW28" s="570"/>
      <c r="AX28" s="570"/>
      <c r="AY28" s="570"/>
      <c r="AZ28" s="570"/>
      <c r="BA28" s="570"/>
      <c r="BB28" s="570"/>
      <c r="BC28" s="571"/>
      <c r="BD28" s="267">
        <f>SQRT(SUMSQ(BD24:BD27))</f>
        <v>1.531281029883775E-4</v>
      </c>
      <c r="BE28" s="182">
        <f>BD28^4/((BD24^4/BE24)+(BD25^4/BE25)+(BD26^4/BE26)+(BD27^4/BE27))</f>
        <v>100.00280477379563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2.0207259421636903E-4</v>
      </c>
      <c r="M29" s="190" t="s">
        <v>9</v>
      </c>
      <c r="N29" s="218">
        <f>(((1))/8000)*((1/(E20-($J$2)))*(8000-$J$2)*(1-Datos!$K$8*(B35-20)))</f>
        <v>1.0121462809371273E-3</v>
      </c>
      <c r="O29" s="229" t="s">
        <v>212</v>
      </c>
      <c r="P29" s="223">
        <f t="shared" ref="P29:P36" si="0">(L29*N29)</f>
        <v>2.0452702471541517E-7</v>
      </c>
      <c r="Q29" s="191">
        <f>BE10</f>
        <v>104.16485900216924</v>
      </c>
      <c r="R29" s="138">
        <f>(P29/$P$38)^2</f>
        <v>0.19986161764867705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2.8867513459481293E-5</v>
      </c>
      <c r="M30" s="196" t="s">
        <v>9</v>
      </c>
      <c r="N30" s="219">
        <f>(((-1))/8000)*((1/(E20-($J$2)))*(8000-$J$2)*(1-Datos!$K$8*(B35-20)))</f>
        <v>-1.0121462809371273E-3</v>
      </c>
      <c r="O30" s="196" t="s">
        <v>212</v>
      </c>
      <c r="P30" s="224">
        <f t="shared" si="0"/>
        <v>-2.9218146387916457E-8</v>
      </c>
      <c r="Q30" s="150">
        <f>BE19</f>
        <v>100</v>
      </c>
      <c r="R30" s="296">
        <f t="shared" ref="R30:R36" si="1">(P30/$P$38)^2</f>
        <v>4.078808523442389E-3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1.531281029883775E-4</v>
      </c>
      <c r="M31" s="190" t="s">
        <v>134</v>
      </c>
      <c r="N31" s="220">
        <f>((-(B31-B32)*(1-(Datos!K8*(B35-20))))/(8000*(X19-J2)))-(((B31-B32)*(8000-J2)*(1-(Datos!K8*(B35-20))))/(8000*(X19-J2)^2))</f>
        <v>0</v>
      </c>
      <c r="O31" s="229" t="s">
        <v>190</v>
      </c>
      <c r="P31" s="223">
        <f t="shared" si="0"/>
        <v>0</v>
      </c>
      <c r="Q31" s="230">
        <f>BE28</f>
        <v>100.00280477379563</v>
      </c>
      <c r="R31" s="138">
        <f t="shared" si="1"/>
        <v>0</v>
      </c>
      <c r="AV31" s="134"/>
      <c r="AW31" s="572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0</v>
      </c>
      <c r="O32" s="77" t="s">
        <v>190</v>
      </c>
      <c r="P32" s="225">
        <f t="shared" si="0"/>
        <v>0</v>
      </c>
      <c r="Q32" s="142">
        <v>100</v>
      </c>
      <c r="R32" s="296">
        <f t="shared" si="1"/>
        <v>0</v>
      </c>
      <c r="AV32" s="184" t="s">
        <v>164</v>
      </c>
      <c r="AW32" s="573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165" t="s">
        <v>235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0</v>
      </c>
      <c r="C33" s="105"/>
      <c r="D33" s="43"/>
      <c r="E33" s="321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(-(B31-B32)*(8000-J2)*(1-(Datos!K8*(B35-20))))/(8000*(X19-J2)^2)*(-0.0632693+(-0.008523829*B35*2)+(0.00006943248*3*B35^2)+(0.0000003821216*4*B35^3))</f>
        <v>0</v>
      </c>
      <c r="O33" s="190" t="s">
        <v>211</v>
      </c>
      <c r="P33" s="261">
        <f t="shared" si="0"/>
        <v>0</v>
      </c>
      <c r="Q33" s="149">
        <v>100</v>
      </c>
      <c r="R33" s="138">
        <f t="shared" si="1"/>
        <v>0</v>
      </c>
      <c r="AV33" s="168" t="s">
        <v>165</v>
      </c>
      <c r="AW33" s="573"/>
      <c r="AX33" s="169" t="s">
        <v>181</v>
      </c>
      <c r="AY33" s="169" t="s">
        <v>168</v>
      </c>
      <c r="AZ33" s="169"/>
      <c r="BA33" s="170">
        <f>L3/SQRT(12)</f>
        <v>2.886751345948129E-3</v>
      </c>
      <c r="BB33" s="171" t="str">
        <f>BB32</f>
        <v>0C</v>
      </c>
      <c r="BC33" s="186">
        <v>1</v>
      </c>
      <c r="BD33" s="172">
        <f>BA33*BC33</f>
        <v>2.886751345948129E-3</v>
      </c>
      <c r="BE33" s="173">
        <v>100</v>
      </c>
    </row>
    <row r="34" spans="1:57" ht="31.2" x14ac:dyDescent="0.3">
      <c r="A34" s="119" t="s">
        <v>102</v>
      </c>
      <c r="B34" s="118">
        <f>STDEVA(C20:C24)</f>
        <v>0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1.7320508075688774E-5</v>
      </c>
      <c r="M34" s="196" t="s">
        <v>197</v>
      </c>
      <c r="N34" s="232">
        <f>--((B31-B32)*(8000-J2)*(B35-20))/(8000*(X19-J2))</f>
        <v>0</v>
      </c>
      <c r="O34" s="159" t="s">
        <v>208</v>
      </c>
      <c r="P34" s="224">
        <f t="shared" si="0"/>
        <v>0</v>
      </c>
      <c r="Q34" s="160">
        <v>100</v>
      </c>
      <c r="R34" s="296">
        <f t="shared" si="1"/>
        <v>0</v>
      </c>
      <c r="AV34" s="581" t="s">
        <v>166</v>
      </c>
      <c r="AW34" s="573"/>
      <c r="AX34" s="174" t="s">
        <v>135</v>
      </c>
      <c r="AY34" s="174" t="s">
        <v>169</v>
      </c>
      <c r="AZ34" s="326"/>
      <c r="BA34" s="566">
        <f>(MAX(J3:K3)-MIN(J3:K3))/SQRT(24)</f>
        <v>3.1045497373677892E-4</v>
      </c>
      <c r="BB34" s="577" t="str">
        <f>BB33</f>
        <v>0C</v>
      </c>
      <c r="BC34" s="575">
        <v>1</v>
      </c>
      <c r="BD34" s="566">
        <f>BA34*BC34</f>
        <v>3.1045497373677892E-4</v>
      </c>
      <c r="BE34" s="586">
        <v>100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0</v>
      </c>
      <c r="O35" s="229" t="s">
        <v>209</v>
      </c>
      <c r="P35" s="223">
        <f t="shared" si="0"/>
        <v>0</v>
      </c>
      <c r="Q35" s="148">
        <v>100</v>
      </c>
      <c r="R35" s="138">
        <f t="shared" si="1"/>
        <v>0</v>
      </c>
      <c r="AV35" s="582"/>
      <c r="AW35" s="574"/>
      <c r="AX35" s="178"/>
      <c r="AY35" s="178"/>
      <c r="AZ35" s="178"/>
      <c r="BA35" s="567"/>
      <c r="BB35" s="578"/>
      <c r="BC35" s="576"/>
      <c r="BD35" s="567"/>
      <c r="BE35" s="587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316">
        <f>(IF(Datos!$P$5=B5,VLOOKUP(Datos!P5,B5:C8,2,FALSE)/1000000,IF(Datos!$P$5=B6,VLOOKUP(Datos!P5,B5:C8,2,FALSE)/1000000,IF(Datos!$P$5=B7,VLOOKUP(Datos!P5,B5:C8,2,FALSE)/1000000,IF(Datos!$P$5=B8,VLOOKUP(Datos!P5,B5:C8,2,FALSE)/1000000," Error ")))))/SQRT(3)</f>
        <v>4.0818664031706544E-7</v>
      </c>
      <c r="M36" s="196" t="s">
        <v>200</v>
      </c>
      <c r="N36" s="222">
        <v>1</v>
      </c>
      <c r="O36" s="46">
        <v>1</v>
      </c>
      <c r="P36" s="226">
        <f t="shared" si="0"/>
        <v>4.0818664031706544E-7</v>
      </c>
      <c r="Q36" s="142">
        <v>100</v>
      </c>
      <c r="R36" s="296">
        <f t="shared" si="1"/>
        <v>0.7960595738278804</v>
      </c>
      <c r="AV36" s="569" t="s">
        <v>162</v>
      </c>
      <c r="AW36" s="570"/>
      <c r="AX36" s="570"/>
      <c r="AY36" s="570"/>
      <c r="AZ36" s="570"/>
      <c r="BA36" s="570"/>
      <c r="BB36" s="570"/>
      <c r="BC36" s="571"/>
      <c r="BD36" s="264">
        <f>SQRT(SUMSQ(BD32:BD34))</f>
        <v>6.5064811654411567E-2</v>
      </c>
      <c r="BE36" s="182">
        <f>BD36^4/((BD32^4/BE32)+(BD33^4/BE33)+(BD34^4/BE34))</f>
        <v>100.39904723919487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0</v>
      </c>
      <c r="M37" s="190" t="s">
        <v>200</v>
      </c>
      <c r="N37" s="294">
        <v>1</v>
      </c>
      <c r="O37" s="293">
        <v>1</v>
      </c>
      <c r="P37" s="261">
        <f>L37*N37</f>
        <v>0</v>
      </c>
      <c r="Q37" s="295">
        <f>COUNT(F20:F24)-1</f>
        <v>4</v>
      </c>
      <c r="R37" s="320">
        <f>P37^2/$P$38^2</f>
        <v>0</v>
      </c>
    </row>
    <row r="38" spans="1:57" ht="50.4" x14ac:dyDescent="0.3">
      <c r="A38" s="22"/>
      <c r="B38" s="106"/>
      <c r="C38" s="106"/>
      <c r="F38" s="22"/>
      <c r="G38" s="590" t="s">
        <v>213</v>
      </c>
      <c r="H38" s="591"/>
      <c r="I38" s="591"/>
      <c r="J38" s="591"/>
      <c r="K38" s="591"/>
      <c r="L38" s="591"/>
      <c r="M38" s="591"/>
      <c r="N38" s="592"/>
      <c r="O38" s="60"/>
      <c r="P38" s="263">
        <f>SQRT(SUMSQ(P29:P37))</f>
        <v>4.5749463084348776E-7</v>
      </c>
      <c r="Q38" s="60"/>
      <c r="R38" s="298">
        <f>SUM(R29:R37)</f>
        <v>0.99999999999999978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106"/>
      <c r="F39" s="22"/>
      <c r="G39" s="607" t="s">
        <v>127</v>
      </c>
      <c r="H39" s="608"/>
      <c r="I39" s="608"/>
      <c r="J39" s="608"/>
      <c r="K39" s="608"/>
      <c r="L39" s="608"/>
      <c r="M39" s="608"/>
      <c r="N39" s="608"/>
      <c r="O39" s="151"/>
      <c r="P39" s="152">
        <f>P38^4/((P29^4/Q29)+(P30^4/Q30)+(P31^4/Q31)+(P32^4/Q32)+(P33^4/Q33)+(P34^4/Q34)+(P35^4/Q35)+(P36^4/Q36))</f>
        <v>148.79291152601621</v>
      </c>
      <c r="Q39" s="152"/>
      <c r="R39" s="153"/>
      <c r="AV39" s="134"/>
      <c r="AW39" s="572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106"/>
      <c r="C40" s="105"/>
      <c r="F40" s="22"/>
      <c r="G40" s="609" t="s">
        <v>128</v>
      </c>
      <c r="H40" s="610"/>
      <c r="I40" s="610"/>
      <c r="J40" s="610"/>
      <c r="K40" s="610"/>
      <c r="L40" s="610"/>
      <c r="M40" s="610"/>
      <c r="N40" s="610"/>
      <c r="O40" s="60"/>
      <c r="P40" s="227">
        <f>IF(P39&gt;20,2,HLOOKUP(P39,A44:V45,2))</f>
        <v>2</v>
      </c>
      <c r="Q40" s="154"/>
      <c r="R40" s="154"/>
      <c r="AV40" s="184" t="s">
        <v>164</v>
      </c>
      <c r="AW40" s="573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73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1" t="s">
        <v>166</v>
      </c>
      <c r="AW42" s="573"/>
      <c r="AX42" s="174" t="s">
        <v>135</v>
      </c>
      <c r="AY42" s="174" t="s">
        <v>169</v>
      </c>
      <c r="AZ42" s="174"/>
      <c r="BA42" s="566">
        <f>((MAX(J4:K4)-MIN(J4:K4)/SQRT(24))/100)</f>
        <v>5.1288878556222861E-3</v>
      </c>
      <c r="BB42" s="577" t="str">
        <f>BB41</f>
        <v>%</v>
      </c>
      <c r="BC42" s="575">
        <v>1</v>
      </c>
      <c r="BD42" s="566">
        <f>BA42*BC42</f>
        <v>5.1288878556222861E-3</v>
      </c>
      <c r="BE42" s="586">
        <v>100</v>
      </c>
    </row>
    <row r="43" spans="1:57" ht="13.8" thickBot="1" x14ac:dyDescent="0.3">
      <c r="A43" s="599" t="s">
        <v>40</v>
      </c>
      <c r="B43" s="600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1"/>
      <c r="AV43" s="582"/>
      <c r="AW43" s="574"/>
      <c r="AX43" s="178"/>
      <c r="AY43" s="178"/>
      <c r="AZ43" s="326"/>
      <c r="BA43" s="567"/>
      <c r="BB43" s="578"/>
      <c r="BC43" s="576"/>
      <c r="BD43" s="567"/>
      <c r="BE43" s="587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69" t="s">
        <v>162</v>
      </c>
      <c r="AW44" s="570"/>
      <c r="AX44" s="570"/>
      <c r="AY44" s="570"/>
      <c r="AZ44" s="570"/>
      <c r="BA44" s="570"/>
      <c r="BB44" s="570"/>
      <c r="BC44" s="571"/>
      <c r="BD44" s="264">
        <f>SQRT(SUMSQ(BD40:BD42))</f>
        <v>6.0719017313811798E-3</v>
      </c>
      <c r="BE44" s="182">
        <f>BD44^4/((BD40^4/BE40)+(BD41^4/BE41)+(BD42^4/BE42))</f>
        <v>169.15646554379103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72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73"/>
      <c r="AX48" s="183" t="s">
        <v>167</v>
      </c>
      <c r="AY48" s="162" t="s">
        <v>161</v>
      </c>
      <c r="AZ48" s="163"/>
      <c r="BA48" s="164">
        <f>MAX(N176:N178,S176:S178)/2</f>
        <v>0.12</v>
      </c>
      <c r="BB48" s="327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73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192" t="s">
        <v>166</v>
      </c>
      <c r="AW50" s="573"/>
      <c r="AX50" s="174" t="s">
        <v>135</v>
      </c>
      <c r="AY50" s="174" t="s">
        <v>169</v>
      </c>
      <c r="AZ50" s="174"/>
      <c r="BA50" s="175">
        <f>(MAX(J5:K5)-MIN(J5:K5))/SQRT(24)</f>
        <v>0</v>
      </c>
      <c r="BB50" s="176" t="str">
        <f>BB49</f>
        <v>Pa</v>
      </c>
      <c r="BC50" s="193">
        <v>1</v>
      </c>
      <c r="BD50" s="175">
        <f>BA50*BC50</f>
        <v>0</v>
      </c>
      <c r="BE50" s="177">
        <v>100</v>
      </c>
    </row>
    <row r="51" spans="1:57" ht="12.75" customHeight="1" x14ac:dyDescent="0.25">
      <c r="D51" s="108"/>
      <c r="AV51" s="194"/>
      <c r="AW51" s="574"/>
      <c r="AX51" s="178"/>
      <c r="AY51" s="178"/>
      <c r="AZ51" s="178"/>
      <c r="BA51" s="179"/>
      <c r="BB51" s="180"/>
      <c r="BC51" s="195"/>
      <c r="BD51" s="179"/>
      <c r="BE51" s="181"/>
    </row>
    <row r="52" spans="1:57" x14ac:dyDescent="0.25">
      <c r="AV52" s="569" t="s">
        <v>162</v>
      </c>
      <c r="AW52" s="570"/>
      <c r="AX52" s="570"/>
      <c r="AY52" s="570"/>
      <c r="AZ52" s="570"/>
      <c r="BA52" s="570"/>
      <c r="BB52" s="570"/>
      <c r="BC52" s="571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68" t="s">
        <v>203</v>
      </c>
      <c r="AW55" s="568"/>
      <c r="AX55" s="568"/>
      <c r="AY55" s="568"/>
      <c r="AZ55" s="568"/>
      <c r="BA55" s="568"/>
      <c r="BB55" s="568"/>
      <c r="BC55" s="568"/>
      <c r="BD55" s="568"/>
      <c r="BE55" s="56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72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73"/>
      <c r="AX59" s="183" t="s">
        <v>167</v>
      </c>
      <c r="AY59" s="162" t="s">
        <v>161</v>
      </c>
      <c r="AZ59" s="163"/>
      <c r="BA59" s="164">
        <f>MAX('punto 1'!F143:F145)/2</f>
        <v>0.01</v>
      </c>
      <c r="BB59" s="165" t="s">
        <v>234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73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192" t="s">
        <v>205</v>
      </c>
      <c r="AW61" s="573"/>
      <c r="AX61" s="174" t="s">
        <v>135</v>
      </c>
      <c r="AY61" s="174" t="s">
        <v>169</v>
      </c>
      <c r="AZ61" s="174"/>
      <c r="BA61" s="566">
        <f>STDEVA(D20:D24)/SQRT(5)</f>
        <v>1.2026554342775768E-7</v>
      </c>
      <c r="BB61" s="176" t="str">
        <f>BB60</f>
        <v>C</v>
      </c>
      <c r="BC61" s="193">
        <v>1</v>
      </c>
      <c r="BD61" s="175">
        <f>BA61*BC61</f>
        <v>1.2026554342775768E-7</v>
      </c>
      <c r="BE61" s="177">
        <v>4</v>
      </c>
    </row>
    <row r="62" spans="1:57" ht="15" customHeight="1" x14ac:dyDescent="0.25">
      <c r="AV62" s="194"/>
      <c r="AW62" s="574"/>
      <c r="AX62" s="178"/>
      <c r="AY62" s="178"/>
      <c r="AZ62" s="178"/>
      <c r="BA62" s="567"/>
      <c r="BB62" s="180"/>
      <c r="BC62" s="195"/>
      <c r="BD62" s="179"/>
      <c r="BE62" s="181"/>
    </row>
    <row r="63" spans="1:57" x14ac:dyDescent="0.25">
      <c r="AV63" s="569" t="s">
        <v>162</v>
      </c>
      <c r="AW63" s="570"/>
      <c r="AX63" s="570"/>
      <c r="AY63" s="570"/>
      <c r="AZ63" s="570"/>
      <c r="BA63" s="570"/>
      <c r="BB63" s="570"/>
      <c r="BC63" s="571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3"/>
      <c r="C79" s="593"/>
      <c r="D79" s="593"/>
      <c r="E79" s="593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8"/>
      <c r="C95" s="588"/>
      <c r="D95" s="588"/>
      <c r="E95" s="588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565"/>
      <c r="C97" s="565"/>
      <c r="D97" s="565"/>
      <c r="E97" s="565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565"/>
      <c r="C103" s="565"/>
      <c r="D103" s="565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583" t="s">
        <v>105</v>
      </c>
      <c r="D139" s="583"/>
      <c r="E139" s="583"/>
      <c r="F139" s="583"/>
      <c r="J139" s="330"/>
      <c r="K139" s="611" t="s">
        <v>0</v>
      </c>
      <c r="L139" s="611"/>
      <c r="M139" s="611"/>
      <c r="N139" s="611"/>
      <c r="O139" s="611"/>
      <c r="P139" s="611"/>
      <c r="Q139" s="611"/>
      <c r="R139" s="611"/>
      <c r="S139" s="611"/>
      <c r="W139" s="579" t="s">
        <v>135</v>
      </c>
      <c r="X139" s="579"/>
      <c r="Y139" s="579"/>
      <c r="Z139" s="579"/>
      <c r="AA139" s="579"/>
      <c r="AB139" s="579"/>
      <c r="AC139" s="579"/>
      <c r="AD139" s="579"/>
      <c r="AE139" s="579"/>
      <c r="AH139" s="579" t="s">
        <v>135</v>
      </c>
      <c r="AI139" s="579"/>
      <c r="AJ139" s="579"/>
      <c r="AK139" s="579"/>
      <c r="AL139" s="579"/>
      <c r="AM139" s="579"/>
      <c r="AN139" s="579"/>
      <c r="AO139" s="579"/>
      <c r="AP139" s="579"/>
      <c r="AS139" s="579" t="s">
        <v>135</v>
      </c>
      <c r="AT139" s="579"/>
      <c r="AU139" s="579"/>
      <c r="AV139" s="579"/>
      <c r="AW139" s="579"/>
      <c r="AX139" s="579"/>
      <c r="AY139" s="579"/>
      <c r="AZ139" s="579"/>
      <c r="BA139" s="579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79"/>
      <c r="X140" s="579"/>
      <c r="Y140" s="579"/>
      <c r="Z140" s="579"/>
      <c r="AA140" s="579"/>
      <c r="AB140" s="579"/>
      <c r="AC140" s="579"/>
      <c r="AD140" s="579"/>
      <c r="AE140" s="579"/>
      <c r="AH140" s="579"/>
      <c r="AI140" s="579"/>
      <c r="AJ140" s="579"/>
      <c r="AK140" s="579"/>
      <c r="AL140" s="579"/>
      <c r="AM140" s="579"/>
      <c r="AN140" s="579"/>
      <c r="AO140" s="579"/>
      <c r="AP140" s="579"/>
      <c r="AS140" s="579"/>
      <c r="AT140" s="579"/>
      <c r="AU140" s="579"/>
      <c r="AV140" s="579"/>
      <c r="AW140" s="579"/>
      <c r="AX140" s="579"/>
      <c r="AY140" s="579"/>
      <c r="AZ140" s="579"/>
      <c r="BA140" s="579"/>
    </row>
    <row r="141" spans="2:53" ht="15.6" x14ac:dyDescent="0.3">
      <c r="B141" s="330"/>
      <c r="C141" s="580" t="s">
        <v>103</v>
      </c>
      <c r="D141" s="580"/>
      <c r="E141" s="580"/>
      <c r="F141" s="580"/>
      <c r="J141" s="330"/>
      <c r="K141" s="580" t="s">
        <v>103</v>
      </c>
      <c r="L141" s="580"/>
      <c r="M141" s="580"/>
      <c r="N141" s="580"/>
      <c r="O141" s="330"/>
      <c r="P141" s="580" t="s">
        <v>103</v>
      </c>
      <c r="Q141" s="580"/>
      <c r="R141" s="580"/>
      <c r="S141" s="580"/>
      <c r="V141" s="330"/>
      <c r="W141" s="580" t="s">
        <v>92</v>
      </c>
      <c r="X141" s="580"/>
      <c r="Y141" s="580"/>
      <c r="Z141" s="580"/>
      <c r="AA141" s="330"/>
      <c r="AB141" s="580" t="s">
        <v>136</v>
      </c>
      <c r="AC141" s="580"/>
      <c r="AD141" s="580"/>
      <c r="AE141" s="580"/>
      <c r="AG141" s="330"/>
      <c r="AH141" s="580" t="s">
        <v>92</v>
      </c>
      <c r="AI141" s="580"/>
      <c r="AJ141" s="580"/>
      <c r="AK141" s="580"/>
      <c r="AL141" s="330"/>
      <c r="AM141" s="580" t="s">
        <v>136</v>
      </c>
      <c r="AN141" s="580"/>
      <c r="AO141" s="580"/>
      <c r="AP141" s="580"/>
      <c r="AR141" s="330"/>
      <c r="AS141" s="580" t="s">
        <v>92</v>
      </c>
      <c r="AT141" s="580"/>
      <c r="AU141" s="580"/>
      <c r="AV141" s="580"/>
      <c r="AW141" s="330"/>
      <c r="AX141" s="580" t="s">
        <v>136</v>
      </c>
      <c r="AY141" s="580"/>
      <c r="AZ141" s="580"/>
      <c r="BA141" s="580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[1]Datos!F26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[1]Datos!N25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[1]Datos!O25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[1]Datos!D26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[1]Datos!E26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80" t="s">
        <v>103</v>
      </c>
      <c r="D147" s="580"/>
      <c r="E147" s="580"/>
      <c r="F147" s="339"/>
      <c r="J147" s="330"/>
      <c r="K147" s="580" t="s">
        <v>27</v>
      </c>
      <c r="L147" s="580"/>
      <c r="M147" s="580"/>
      <c r="N147" s="339"/>
      <c r="O147" s="584" t="s">
        <v>27</v>
      </c>
      <c r="P147" s="584"/>
      <c r="Q147" s="584"/>
      <c r="R147" s="584"/>
      <c r="S147" s="58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80" t="s">
        <v>103</v>
      </c>
      <c r="D158" s="580"/>
      <c r="E158" s="580"/>
      <c r="F158" s="58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84" t="s">
        <v>28</v>
      </c>
      <c r="L159" s="584"/>
      <c r="M159" s="584"/>
      <c r="N159" s="584"/>
      <c r="O159" s="330"/>
      <c r="P159" s="584" t="s">
        <v>28</v>
      </c>
      <c r="Q159" s="584"/>
      <c r="R159" s="584"/>
      <c r="S159" s="58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[1]Datos!F27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80" t="s">
        <v>92</v>
      </c>
      <c r="X161" s="580"/>
      <c r="Y161" s="580"/>
      <c r="Z161" s="580"/>
      <c r="AA161" s="330"/>
      <c r="AB161" s="580" t="s">
        <v>136</v>
      </c>
      <c r="AC161" s="580"/>
      <c r="AD161" s="580"/>
      <c r="AE161" s="580"/>
      <c r="AG161" s="330"/>
      <c r="AH161" s="580" t="s">
        <v>92</v>
      </c>
      <c r="AI161" s="580"/>
      <c r="AJ161" s="580"/>
      <c r="AK161" s="580"/>
      <c r="AL161" s="330"/>
      <c r="AM161" s="580" t="s">
        <v>136</v>
      </c>
      <c r="AN161" s="580"/>
      <c r="AO161" s="580"/>
      <c r="AP161" s="580"/>
      <c r="AR161" s="330"/>
      <c r="AS161" s="580" t="s">
        <v>92</v>
      </c>
      <c r="AT161" s="580"/>
      <c r="AU161" s="580"/>
      <c r="AV161" s="580"/>
      <c r="AW161" s="330"/>
      <c r="AX161" s="580" t="s">
        <v>136</v>
      </c>
      <c r="AY161" s="580"/>
      <c r="AZ161" s="580"/>
      <c r="BA161" s="580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[1]Datos!N26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[1]Datos!O26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80" t="s">
        <v>103</v>
      </c>
      <c r="D164" s="580"/>
      <c r="E164" s="580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[1]Datos!D27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[1]Datos!E27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84" t="s">
        <v>130</v>
      </c>
      <c r="L165" s="584"/>
      <c r="M165" s="584"/>
      <c r="N165" s="584"/>
      <c r="O165" s="330"/>
      <c r="P165" s="584" t="s">
        <v>130</v>
      </c>
      <c r="Q165" s="584"/>
      <c r="R165" s="584"/>
      <c r="S165" s="58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80" t="s">
        <v>131</v>
      </c>
      <c r="L174" s="580"/>
      <c r="M174" s="580"/>
      <c r="N174" s="580"/>
      <c r="O174" s="330"/>
      <c r="P174" s="580" t="s">
        <v>131</v>
      </c>
      <c r="Q174" s="580"/>
      <c r="R174" s="580"/>
      <c r="S174" s="580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80" t="s">
        <v>103</v>
      </c>
      <c r="D175" s="580"/>
      <c r="E175" s="580"/>
      <c r="F175" s="580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[1]Datos!N27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[1]Datos!O27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[1]Datos!F28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80" t="s">
        <v>103</v>
      </c>
      <c r="D181" s="580"/>
      <c r="E181" s="580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80" t="s">
        <v>92</v>
      </c>
      <c r="X181" s="580"/>
      <c r="Y181" s="580"/>
      <c r="Z181" s="580"/>
      <c r="AA181" s="330"/>
      <c r="AB181" s="580" t="s">
        <v>136</v>
      </c>
      <c r="AC181" s="580"/>
      <c r="AD181" s="580"/>
      <c r="AE181" s="580"/>
      <c r="AG181" s="330"/>
      <c r="AH181" s="580" t="s">
        <v>92</v>
      </c>
      <c r="AI181" s="580"/>
      <c r="AJ181" s="580"/>
      <c r="AK181" s="580"/>
      <c r="AL181" s="330"/>
      <c r="AM181" s="580" t="s">
        <v>136</v>
      </c>
      <c r="AN181" s="580"/>
      <c r="AO181" s="580"/>
      <c r="AP181" s="580"/>
      <c r="AR181" s="330"/>
      <c r="AS181" s="580" t="s">
        <v>92</v>
      </c>
      <c r="AT181" s="580"/>
      <c r="AU181" s="580"/>
      <c r="AV181" s="580"/>
      <c r="AW181" s="330"/>
      <c r="AX181" s="580" t="s">
        <v>136</v>
      </c>
      <c r="AY181" s="580"/>
      <c r="AZ181" s="580"/>
      <c r="BA181" s="580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[1]Datos!D28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[1]Datos!E28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80" t="s">
        <v>103</v>
      </c>
      <c r="D192" s="580"/>
      <c r="E192" s="580"/>
      <c r="F192" s="580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[1]Datos!F29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80" t="s">
        <v>103</v>
      </c>
      <c r="D198" s="580"/>
      <c r="E198" s="580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80" t="s">
        <v>92</v>
      </c>
      <c r="X201" s="580"/>
      <c r="Y201" s="580"/>
      <c r="Z201" s="580"/>
      <c r="AA201" s="330"/>
      <c r="AB201" s="580" t="s">
        <v>136</v>
      </c>
      <c r="AC201" s="580"/>
      <c r="AD201" s="580"/>
      <c r="AE201" s="580"/>
      <c r="AG201" s="330"/>
      <c r="AH201" s="580" t="s">
        <v>92</v>
      </c>
      <c r="AI201" s="580"/>
      <c r="AJ201" s="580"/>
      <c r="AK201" s="580"/>
      <c r="AL201" s="330"/>
      <c r="AM201" s="580" t="s">
        <v>136</v>
      </c>
      <c r="AN201" s="580"/>
      <c r="AO201" s="580"/>
      <c r="AP201" s="580"/>
      <c r="AR201" s="330"/>
      <c r="AS201" s="580" t="s">
        <v>92</v>
      </c>
      <c r="AT201" s="580"/>
      <c r="AU201" s="580"/>
      <c r="AV201" s="580"/>
      <c r="AW201" s="330"/>
      <c r="AX201" s="580" t="s">
        <v>136</v>
      </c>
      <c r="AY201" s="580"/>
      <c r="AZ201" s="580"/>
      <c r="BA201" s="580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[1]Datos!D29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[1]Datos!E29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80" t="s">
        <v>103</v>
      </c>
      <c r="D209" s="580"/>
      <c r="E209" s="580"/>
      <c r="F209" s="580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[1]Datos!F30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80" t="s">
        <v>27</v>
      </c>
      <c r="D215" s="580"/>
      <c r="E215" s="580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80" t="s">
        <v>92</v>
      </c>
      <c r="X221" s="580"/>
      <c r="Y221" s="580"/>
      <c r="Z221" s="580"/>
      <c r="AA221" s="330"/>
      <c r="AB221" s="580" t="s">
        <v>136</v>
      </c>
      <c r="AC221" s="580"/>
      <c r="AD221" s="580"/>
      <c r="AE221" s="580"/>
      <c r="AG221" s="330"/>
      <c r="AH221" s="580" t="s">
        <v>92</v>
      </c>
      <c r="AI221" s="580"/>
      <c r="AJ221" s="580"/>
      <c r="AK221" s="580"/>
      <c r="AL221" s="330"/>
      <c r="AM221" s="580" t="s">
        <v>136</v>
      </c>
      <c r="AN221" s="580"/>
      <c r="AO221" s="580"/>
      <c r="AP221" s="580"/>
      <c r="AR221" s="330"/>
      <c r="AS221" s="580" t="s">
        <v>92</v>
      </c>
      <c r="AT221" s="580"/>
      <c r="AU221" s="580"/>
      <c r="AV221" s="580"/>
      <c r="AW221" s="330"/>
      <c r="AX221" s="580" t="s">
        <v>136</v>
      </c>
      <c r="AY221" s="580"/>
      <c r="AZ221" s="580"/>
      <c r="BA221" s="580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[1]Datos!D30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[1]Datos!E30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79" t="s">
        <v>135</v>
      </c>
      <c r="C241" s="579"/>
      <c r="D241" s="579"/>
      <c r="E241" s="579"/>
      <c r="F241" s="579"/>
      <c r="G241" s="579"/>
      <c r="H241" s="579"/>
      <c r="I241" s="579"/>
      <c r="J241" s="579"/>
      <c r="M241" s="579" t="s">
        <v>135</v>
      </c>
      <c r="N241" s="579"/>
      <c r="O241" s="579"/>
      <c r="P241" s="579"/>
      <c r="Q241" s="579"/>
      <c r="R241" s="579"/>
      <c r="S241" s="579"/>
      <c r="T241" s="579"/>
      <c r="U241" s="579"/>
      <c r="X241" s="579" t="s">
        <v>135</v>
      </c>
      <c r="Y241" s="579"/>
      <c r="Z241" s="579"/>
      <c r="AA241" s="579"/>
      <c r="AB241" s="579"/>
      <c r="AC241" s="579"/>
      <c r="AD241" s="579"/>
      <c r="AE241" s="579"/>
      <c r="AF241" s="579"/>
    </row>
    <row r="242" spans="1:32" ht="13.2" customHeight="1" x14ac:dyDescent="0.25">
      <c r="B242" s="579"/>
      <c r="C242" s="579"/>
      <c r="D242" s="579"/>
      <c r="E242" s="579"/>
      <c r="F242" s="579"/>
      <c r="G242" s="579"/>
      <c r="H242" s="579"/>
      <c r="I242" s="579"/>
      <c r="J242" s="579"/>
      <c r="M242" s="579"/>
      <c r="N242" s="579"/>
      <c r="O242" s="579"/>
      <c r="P242" s="579"/>
      <c r="Q242" s="579"/>
      <c r="R242" s="579"/>
      <c r="S242" s="579"/>
      <c r="T242" s="579"/>
      <c r="U242" s="579"/>
      <c r="X242" s="579"/>
      <c r="Y242" s="579"/>
      <c r="Z242" s="579"/>
      <c r="AA242" s="579"/>
      <c r="AB242" s="579"/>
      <c r="AC242" s="579"/>
      <c r="AD242" s="579"/>
      <c r="AE242" s="579"/>
      <c r="AF242" s="579"/>
    </row>
    <row r="243" spans="1:32" ht="15.6" x14ac:dyDescent="0.3">
      <c r="A243" s="330"/>
      <c r="B243" s="580" t="s">
        <v>92</v>
      </c>
      <c r="C243" s="580"/>
      <c r="D243" s="580"/>
      <c r="E243" s="580"/>
      <c r="F243" s="330"/>
      <c r="G243" s="580" t="s">
        <v>136</v>
      </c>
      <c r="H243" s="580"/>
      <c r="I243" s="580"/>
      <c r="J243" s="580"/>
      <c r="L243" s="330"/>
      <c r="M243" s="580" t="s">
        <v>92</v>
      </c>
      <c r="N243" s="580"/>
      <c r="O243" s="580"/>
      <c r="P243" s="580"/>
      <c r="Q243" s="330"/>
      <c r="R243" s="580" t="s">
        <v>136</v>
      </c>
      <c r="S243" s="580"/>
      <c r="T243" s="580"/>
      <c r="U243" s="580"/>
      <c r="W243" s="330"/>
      <c r="X243" s="580" t="s">
        <v>92</v>
      </c>
      <c r="Y243" s="580"/>
      <c r="Z243" s="580"/>
      <c r="AA243" s="580"/>
      <c r="AB243" s="330"/>
      <c r="AC243" s="580" t="s">
        <v>136</v>
      </c>
      <c r="AD243" s="580"/>
      <c r="AE243" s="580"/>
      <c r="AF243" s="580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</v>
      </c>
      <c r="D246" s="338">
        <f>(D247-D245)/(C247-C245)*(C246-C245)+D245</f>
        <v>0</v>
      </c>
      <c r="E246" s="338">
        <f>(E247-E245)/(C247-C245)*(C246-C245)+E245</f>
        <v>1.6000000000000001E-4</v>
      </c>
      <c r="F246" s="330"/>
      <c r="G246" s="335"/>
      <c r="H246" s="337">
        <f>B32</f>
        <v>0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</v>
      </c>
      <c r="O246" s="338">
        <f>(O247-O245)/(N247-N245)*(N246-N245)+O245</f>
        <v>0</v>
      </c>
      <c r="P246" s="338">
        <f>(P247-P245)/(N247-N245)*(N246-N245)+P245</f>
        <v>0.05</v>
      </c>
      <c r="Q246" s="330"/>
      <c r="R246" s="335"/>
      <c r="S246" s="337">
        <f>H246</f>
        <v>0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3">
        <v>0</v>
      </c>
      <c r="C251" s="343">
        <v>0</v>
      </c>
      <c r="D251" s="343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3">
        <v>1</v>
      </c>
      <c r="C252" s="343">
        <v>6.9999999999999994E-5</v>
      </c>
      <c r="D252" s="343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3">
        <v>100</v>
      </c>
      <c r="C253" s="343">
        <v>2.2000000000000001E-4</v>
      </c>
      <c r="D253" s="343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3">
        <v>200</v>
      </c>
      <c r="C254" s="343">
        <v>1.7000000000000001E-4</v>
      </c>
      <c r="D254" s="343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3">
        <v>300</v>
      </c>
      <c r="C255" s="343">
        <v>2.4000000000000001E-4</v>
      </c>
      <c r="D255" s="343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3">
        <v>400</v>
      </c>
      <c r="C256" s="343">
        <v>1.6000000000000001E-4</v>
      </c>
      <c r="D256" s="343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3">
        <v>500</v>
      </c>
      <c r="C257" s="343">
        <v>-1.9000000000000001E-4</v>
      </c>
      <c r="D257" s="343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3"/>
      <c r="C258" s="343"/>
      <c r="D258" s="343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3"/>
      <c r="C259" s="343"/>
      <c r="D259" s="343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3"/>
      <c r="C260" s="343"/>
      <c r="D260" s="343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AS201:AV201"/>
    <mergeCell ref="AX201:BA201"/>
    <mergeCell ref="AS221:AV221"/>
    <mergeCell ref="AX221:BA221"/>
    <mergeCell ref="AH201:AK201"/>
    <mergeCell ref="AM201:AP201"/>
    <mergeCell ref="AH221:AK221"/>
    <mergeCell ref="AM221:AP221"/>
    <mergeCell ref="AH181:AK181"/>
    <mergeCell ref="AM181:AP181"/>
    <mergeCell ref="AS139:BA140"/>
    <mergeCell ref="AS141:AV141"/>
    <mergeCell ref="AX141:BA141"/>
    <mergeCell ref="AS161:AV161"/>
    <mergeCell ref="AX161:BA161"/>
    <mergeCell ref="AS181:AV181"/>
    <mergeCell ref="AX181:BA181"/>
    <mergeCell ref="W141:Z141"/>
    <mergeCell ref="AB141:AE141"/>
    <mergeCell ref="W161:Z161"/>
    <mergeCell ref="AB161:AE161"/>
    <mergeCell ref="W181:Z181"/>
    <mergeCell ref="AH139:AP140"/>
    <mergeCell ref="AH141:AK141"/>
    <mergeCell ref="AM141:AP141"/>
    <mergeCell ref="AH161:AK161"/>
    <mergeCell ref="AM161:AP161"/>
    <mergeCell ref="K174:N174"/>
    <mergeCell ref="P174:S174"/>
    <mergeCell ref="C175:F175"/>
    <mergeCell ref="C181:E181"/>
    <mergeCell ref="W201:Z201"/>
    <mergeCell ref="AB201:AE201"/>
    <mergeCell ref="A17:A19"/>
    <mergeCell ref="F17:F18"/>
    <mergeCell ref="G17:G18"/>
    <mergeCell ref="G5:H5"/>
    <mergeCell ref="G3:H3"/>
    <mergeCell ref="G4:H4"/>
    <mergeCell ref="B3:C3"/>
    <mergeCell ref="G39:N39"/>
    <mergeCell ref="G40:N40"/>
    <mergeCell ref="K139:S139"/>
    <mergeCell ref="K165:N165"/>
    <mergeCell ref="K141:N141"/>
    <mergeCell ref="P141:S141"/>
    <mergeCell ref="P159:S159"/>
    <mergeCell ref="P165:S165"/>
    <mergeCell ref="K159:N159"/>
    <mergeCell ref="K147:M147"/>
    <mergeCell ref="J2:K2"/>
    <mergeCell ref="AO6:AP6"/>
    <mergeCell ref="AC17:AF17"/>
    <mergeCell ref="AI1:AL1"/>
    <mergeCell ref="H21:H22"/>
    <mergeCell ref="N11:O11"/>
    <mergeCell ref="BE42:BE43"/>
    <mergeCell ref="AN1:AQ1"/>
    <mergeCell ref="P11:Q11"/>
    <mergeCell ref="R11:S11"/>
    <mergeCell ref="T11:U11"/>
    <mergeCell ref="V11:W11"/>
    <mergeCell ref="A43:V43"/>
    <mergeCell ref="AW5:AW9"/>
    <mergeCell ref="AV34:AV35"/>
    <mergeCell ref="AV28:BC28"/>
    <mergeCell ref="AW31:AW35"/>
    <mergeCell ref="AV63:BC63"/>
    <mergeCell ref="B95:E95"/>
    <mergeCell ref="AV44:BC44"/>
    <mergeCell ref="AW39:AW43"/>
    <mergeCell ref="J21:J22"/>
    <mergeCell ref="G38:N38"/>
    <mergeCell ref="B79:E79"/>
    <mergeCell ref="BA61:BA62"/>
    <mergeCell ref="BA42:BA43"/>
    <mergeCell ref="AV1:BA1"/>
    <mergeCell ref="AV10:BC10"/>
    <mergeCell ref="BA34:BA35"/>
    <mergeCell ref="AV55:BE55"/>
    <mergeCell ref="AW58:AW62"/>
    <mergeCell ref="BE34:BE35"/>
    <mergeCell ref="BD34:BD35"/>
    <mergeCell ref="BC34:BC35"/>
    <mergeCell ref="BB34:BB35"/>
    <mergeCell ref="AV3:BE3"/>
    <mergeCell ref="R243:U243"/>
    <mergeCell ref="C209:F209"/>
    <mergeCell ref="B103:D103"/>
    <mergeCell ref="B241:J242"/>
    <mergeCell ref="M241:U242"/>
    <mergeCell ref="C139:F139"/>
    <mergeCell ref="O147:S147"/>
    <mergeCell ref="C215:E215"/>
    <mergeCell ref="C192:F192"/>
    <mergeCell ref="C198:E198"/>
    <mergeCell ref="C141:F141"/>
    <mergeCell ref="C147:E147"/>
    <mergeCell ref="C158:F158"/>
    <mergeCell ref="C164:E164"/>
    <mergeCell ref="AC243:AF243"/>
    <mergeCell ref="AW47:AW51"/>
    <mergeCell ref="B97:E97"/>
    <mergeCell ref="B243:E243"/>
    <mergeCell ref="G243:J243"/>
    <mergeCell ref="M243:P243"/>
    <mergeCell ref="BB42:BB43"/>
    <mergeCell ref="AV36:BC36"/>
    <mergeCell ref="X241:AF242"/>
    <mergeCell ref="X243:AA243"/>
    <mergeCell ref="AV42:AV43"/>
    <mergeCell ref="AV52:BC52"/>
    <mergeCell ref="AB181:AE181"/>
    <mergeCell ref="W221:Z221"/>
    <mergeCell ref="AB221:AE221"/>
    <mergeCell ref="W139:AE140"/>
    <mergeCell ref="G21:G22"/>
    <mergeCell ref="G23:H23"/>
    <mergeCell ref="I12:J12"/>
    <mergeCell ref="BD42:BD43"/>
    <mergeCell ref="AV12:BE12"/>
    <mergeCell ref="AV19:BC19"/>
    <mergeCell ref="AW14:AW18"/>
    <mergeCell ref="BC42:BC43"/>
    <mergeCell ref="AV21:BE21"/>
    <mergeCell ref="AW23:AW27"/>
  </mergeCells>
  <printOptions horizontalCentered="1" verticalCentered="1"/>
  <pageMargins left="0.28999999999999998" right="0.59055118110236227" top="1.3385826771653544" bottom="0.62" header="0.82677165354330717" footer="0.36"/>
  <pageSetup scale="85" orientation="landscape" horizontalDpi="180" verticalDpi="180" r:id="rId1"/>
  <headerFooter alignWithMargins="0">
    <oddHeader xml:space="preserve">&amp;C&amp;"Arial,Negrita"&amp;16Laboratorio Nacional de Metrología Legal
(MIFIC-UNI)&amp;"Arial,Normal"&amp;10
Hoja de Protocolo de Calibración Reg. No. CVOL </oddHeader>
    <oddFooter>&amp;CD:\lanamet\volumen\...&amp;F&amp;RPágina &amp;P</oddFooter>
  </headerFooter>
  <rowBreaks count="1" manualBreakCount="1">
    <brk id="24" max="65535" man="1"/>
  </rowBreaks>
  <drawing r:id="rId2"/>
  <legacyDrawing r:id="rId3"/>
  <oleObjects>
    <mc:AlternateContent xmlns:mc="http://schemas.openxmlformats.org/markup-compatibility/2006">
      <mc:Choice Requires="x14">
        <oleObject progId="Equation.3" shapeId="96579" r:id="rId4">
          <objectPr defaultSize="0" autoPict="0" r:id="rId5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96579" r:id="rId4"/>
      </mc:Fallback>
    </mc:AlternateContent>
    <mc:AlternateContent xmlns:mc="http://schemas.openxmlformats.org/markup-compatibility/2006">
      <mc:Choice Requires="x14">
        <oleObject progId="Equation.3" shapeId="96581" r:id="rId6">
          <objectPr defaultSize="0" autoPict="0" r:id="rId7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96581" r:id="rId6"/>
      </mc:Fallback>
    </mc:AlternateContent>
    <mc:AlternateContent xmlns:mc="http://schemas.openxmlformats.org/markup-compatibility/2006">
      <mc:Choice Requires="x14">
        <oleObject progId="Equation.3" shapeId="96586" r:id="rId8">
          <objectPr defaultSize="0" autoPict="0" r:id="rId9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96586" r:id="rId8"/>
      </mc:Fallback>
    </mc:AlternateContent>
    <mc:AlternateContent xmlns:mc="http://schemas.openxmlformats.org/markup-compatibility/2006">
      <mc:Choice Requires="x14">
        <oleObject progId="Equation.3" shapeId="96830" r:id="rId10">
          <objectPr defaultSize="0" autoPict="0" r:id="rId11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96830" r:id="rId10"/>
      </mc:Fallback>
    </mc:AlternateContent>
    <mc:AlternateContent xmlns:mc="http://schemas.openxmlformats.org/markup-compatibility/2006">
      <mc:Choice Requires="x14">
        <oleObject progId="Equation.3" shapeId="96831" r:id="rId12">
          <objectPr defaultSize="0" autoPict="0" r:id="rId13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96831" r:id="rId12"/>
      </mc:Fallback>
    </mc:AlternateContent>
    <mc:AlternateContent xmlns:mc="http://schemas.openxmlformats.org/markup-compatibility/2006">
      <mc:Choice Requires="x14">
        <oleObject progId="Equation.3" shapeId="96840" r:id="rId14">
          <objectPr defaultSize="0" autoPict="0" r:id="rId11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96840" r:id="rId14"/>
      </mc:Fallback>
    </mc:AlternateContent>
    <mc:AlternateContent xmlns:mc="http://schemas.openxmlformats.org/markup-compatibility/2006">
      <mc:Choice Requires="x14">
        <oleObject progId="Equation.3" shapeId="96841" r:id="rId15">
          <objectPr defaultSize="0" autoPict="0" r:id="rId16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96841" r:id="rId15"/>
      </mc:Fallback>
    </mc:AlternateContent>
    <mc:AlternateContent xmlns:mc="http://schemas.openxmlformats.org/markup-compatibility/2006">
      <mc:Choice Requires="x14">
        <oleObject progId="Equation.3" shapeId="96866" r:id="rId17">
          <objectPr defaultSize="0" autoPict="0" r:id="rId11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96866" r:id="rId17"/>
      </mc:Fallback>
    </mc:AlternateContent>
    <mc:AlternateContent xmlns:mc="http://schemas.openxmlformats.org/markup-compatibility/2006">
      <mc:Choice Requires="x14">
        <oleObject progId="Equation.3" shapeId="96867" r:id="rId18">
          <objectPr defaultSize="0" autoPict="0" r:id="rId19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96867" r:id="rId18"/>
      </mc:Fallback>
    </mc:AlternateContent>
    <mc:AlternateContent xmlns:mc="http://schemas.openxmlformats.org/markup-compatibility/2006">
      <mc:Choice Requires="x14">
        <oleObject progId="Equation.3" shapeId="96874" r:id="rId20">
          <objectPr defaultSize="0" autoPict="0" r:id="rId11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96874" r:id="rId20"/>
      </mc:Fallback>
    </mc:AlternateContent>
    <mc:AlternateContent xmlns:mc="http://schemas.openxmlformats.org/markup-compatibility/2006">
      <mc:Choice Requires="x14">
        <oleObject progId="Equation.3" shapeId="96875" r:id="rId21">
          <objectPr defaultSize="0" autoPict="0" r:id="rId22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96875" r:id="rId21"/>
      </mc:Fallback>
    </mc:AlternateContent>
    <mc:AlternateContent xmlns:mc="http://schemas.openxmlformats.org/markup-compatibility/2006">
      <mc:Choice Requires="x14">
        <oleObject progId="Equation.3" shapeId="96878" r:id="rId23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878" r:id="rId23"/>
      </mc:Fallback>
    </mc:AlternateContent>
    <mc:AlternateContent xmlns:mc="http://schemas.openxmlformats.org/markup-compatibility/2006">
      <mc:Choice Requires="x14">
        <oleObject progId="Equation.3" shapeId="96912" r:id="rId24">
          <objectPr defaultSize="0" autoPict="0" r:id="rId25">
            <anchor moveWithCells="1" sizeWithCells="1">
              <from>
                <xdr:col>0</xdr:col>
                <xdr:colOff>365760</xdr:colOff>
                <xdr:row>12</xdr:row>
                <xdr:rowOff>83820</xdr:rowOff>
              </from>
              <to>
                <xdr:col>2</xdr:col>
                <xdr:colOff>297180</xdr:colOff>
                <xdr:row>15</xdr:row>
                <xdr:rowOff>99060</xdr:rowOff>
              </to>
            </anchor>
          </objectPr>
        </oleObject>
      </mc:Choice>
      <mc:Fallback>
        <oleObject progId="Equation.3" shapeId="96912" r:id="rId24"/>
      </mc:Fallback>
    </mc:AlternateContent>
    <mc:AlternateContent xmlns:mc="http://schemas.openxmlformats.org/markup-compatibility/2006">
      <mc:Choice Requires="x14">
        <oleObject progId="Equation.3" shapeId="96919" r:id="rId26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919" r:id="rId26"/>
      </mc:Fallback>
    </mc:AlternateContent>
    <mc:AlternateContent xmlns:mc="http://schemas.openxmlformats.org/markup-compatibility/2006">
      <mc:Choice Requires="x14">
        <oleObject progId="Equation.3" shapeId="96920" r:id="rId27">
          <objectPr defaultSize="0" autoPict="0" r:id="rId28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96920" r:id="rId27"/>
      </mc:Fallback>
    </mc:AlternateContent>
    <mc:AlternateContent xmlns:mc="http://schemas.openxmlformats.org/markup-compatibility/2006">
      <mc:Choice Requires="x14">
        <oleObject progId="Equation.3" shapeId="96922" r:id="rId29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2" r:id="rId29"/>
      </mc:Fallback>
    </mc:AlternateContent>
    <mc:AlternateContent xmlns:mc="http://schemas.openxmlformats.org/markup-compatibility/2006">
      <mc:Choice Requires="x14">
        <oleObject progId="Equation.3" shapeId="96924" r:id="rId30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4" r:id="rId30"/>
      </mc:Fallback>
    </mc:AlternateContent>
    <mc:AlternateContent xmlns:mc="http://schemas.openxmlformats.org/markup-compatibility/2006">
      <mc:Choice Requires="x14">
        <oleObject progId="Equation.3" shapeId="96925" r:id="rId32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5" r:id="rId32"/>
      </mc:Fallback>
    </mc:AlternateContent>
    <mc:AlternateContent xmlns:mc="http://schemas.openxmlformats.org/markup-compatibility/2006">
      <mc:Choice Requires="x14">
        <oleObject progId="Equation.3" shapeId="96926" r:id="rId33">
          <objectPr defaultSize="0" autoPict="0" r:id="rId34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96926" r:id="rId33"/>
      </mc:Fallback>
    </mc:AlternateContent>
    <mc:AlternateContent xmlns:mc="http://schemas.openxmlformats.org/markup-compatibility/2006">
      <mc:Choice Requires="x14">
        <oleObject progId="Equation.3" shapeId="96927" r:id="rId35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7" r:id="rId35"/>
      </mc:Fallback>
    </mc:AlternateContent>
    <mc:AlternateContent xmlns:mc="http://schemas.openxmlformats.org/markup-compatibility/2006">
      <mc:Choice Requires="x14">
        <oleObject progId="Equation.3" shapeId="97096" r:id="rId36">
          <objectPr defaultSize="0" autoPict="0" r:id="rId37">
            <anchor moveWithCells="1" sizeWithCells="1">
              <from>
                <xdr:col>50</xdr:col>
                <xdr:colOff>1074420</xdr:colOff>
                <xdr:row>41</xdr:row>
                <xdr:rowOff>83820</xdr:rowOff>
              </from>
              <to>
                <xdr:col>52</xdr:col>
                <xdr:colOff>15240</xdr:colOff>
                <xdr:row>42</xdr:row>
                <xdr:rowOff>152400</xdr:rowOff>
              </to>
            </anchor>
          </objectPr>
        </oleObject>
      </mc:Choice>
      <mc:Fallback>
        <oleObject progId="Equation.3" shapeId="97096" r:id="rId36"/>
      </mc:Fallback>
    </mc:AlternateContent>
    <mc:AlternateContent xmlns:mc="http://schemas.openxmlformats.org/markup-compatibility/2006">
      <mc:Choice Requires="x14">
        <oleObject progId="Equation.3" shapeId="97097" r:id="rId38">
          <objectPr defaultSize="0" autoPict="0" r:id="rId39">
            <anchor moveWithCells="1" sizeWithCells="1">
              <from>
                <xdr:col>51</xdr:col>
                <xdr:colOff>68580</xdr:colOff>
                <xdr:row>33</xdr:row>
                <xdr:rowOff>91440</xdr:rowOff>
              </from>
              <to>
                <xdr:col>51</xdr:col>
                <xdr:colOff>762000</xdr:colOff>
                <xdr:row>34</xdr:row>
                <xdr:rowOff>160020</xdr:rowOff>
              </to>
            </anchor>
          </objectPr>
        </oleObject>
      </mc:Choice>
      <mc:Fallback>
        <oleObject progId="Equation.3" shapeId="97097" r:id="rId38"/>
      </mc:Fallback>
    </mc:AlternateContent>
    <mc:AlternateContent xmlns:mc="http://schemas.openxmlformats.org/markup-compatibility/2006">
      <mc:Choice Requires="x14">
        <oleObject progId="Equation.3" shapeId="97098" r:id="rId40">
          <objectPr defaultSize="0" autoPict="0" r:id="rId41">
            <anchor moveWithCells="1" sizeWithCells="1">
              <from>
                <xdr:col>51</xdr:col>
                <xdr:colOff>0</xdr:colOff>
                <xdr:row>49</xdr:row>
                <xdr:rowOff>38100</xdr:rowOff>
              </from>
              <to>
                <xdr:col>51</xdr:col>
                <xdr:colOff>731520</xdr:colOff>
                <xdr:row>50</xdr:row>
                <xdr:rowOff>152400</xdr:rowOff>
              </to>
            </anchor>
          </objectPr>
        </oleObject>
      </mc:Choice>
      <mc:Fallback>
        <oleObject progId="Equation.3" shapeId="97098" r:id="rId4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69F0-A00D-40D4-90D1-7A0BF2D9E527}">
  <dimension ref="A1:BE260"/>
  <sheetViews>
    <sheetView topLeftCell="AK1" zoomScale="70" zoomScaleNormal="70" workbookViewId="0">
      <selection activeCell="BA15" sqref="BA15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94" t="s">
        <v>47</v>
      </c>
      <c r="AJ1" s="594"/>
      <c r="AK1" s="594"/>
      <c r="AL1" s="594"/>
      <c r="AN1" s="594" t="s">
        <v>48</v>
      </c>
      <c r="AO1" s="594"/>
      <c r="AP1" s="594"/>
      <c r="AQ1" s="594"/>
      <c r="AV1" s="585" t="s">
        <v>14</v>
      </c>
      <c r="AW1" s="585"/>
      <c r="AX1" s="585"/>
      <c r="AY1" s="585"/>
      <c r="AZ1" s="585"/>
      <c r="BA1" s="585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602">
        <f>AO14</f>
        <v>4.1721998668247425E-5</v>
      </c>
      <c r="K2" s="603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623" t="s">
        <v>227</v>
      </c>
      <c r="C3" s="623"/>
      <c r="D3" s="310"/>
      <c r="E3" s="309"/>
      <c r="G3" s="619" t="s">
        <v>1</v>
      </c>
      <c r="H3" s="620"/>
      <c r="I3" s="10"/>
      <c r="J3" s="30">
        <f>Datos!N37-M144</f>
        <v>-8.8060836501901149E-2</v>
      </c>
      <c r="K3" s="30">
        <f>Datos!O37-R144</f>
        <v>-8.6539923954372627E-2</v>
      </c>
      <c r="L3" s="67">
        <f>Datos!P37</f>
        <v>0</v>
      </c>
      <c r="M3" s="156">
        <f>AVERAGE(J3:K3)</f>
        <v>-8.7300380228136881E-2</v>
      </c>
      <c r="W3" s="7" t="s">
        <v>31</v>
      </c>
      <c r="AV3" s="568" t="s">
        <v>172</v>
      </c>
      <c r="AW3" s="568"/>
      <c r="AX3" s="568"/>
      <c r="AY3" s="568"/>
      <c r="AZ3" s="568"/>
      <c r="BA3" s="568"/>
      <c r="BB3" s="568"/>
      <c r="BC3" s="568"/>
      <c r="BD3" s="568"/>
      <c r="BE3" s="56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621" t="s">
        <v>12</v>
      </c>
      <c r="H4" s="622"/>
      <c r="I4" s="29"/>
      <c r="J4" s="30">
        <f>Datos!N38-M162</f>
        <v>0.61162790697674441</v>
      </c>
      <c r="K4" s="30">
        <f>Datos!O38-R162</f>
        <v>0.48372093023255824</v>
      </c>
      <c r="L4" s="67">
        <f>Datos!P38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617" t="s">
        <v>23</v>
      </c>
      <c r="H5" s="618"/>
      <c r="I5" s="18"/>
      <c r="J5" s="30">
        <f>Datos!N39-M177</f>
        <v>0</v>
      </c>
      <c r="K5" s="30">
        <f>Datos!O39-R177</f>
        <v>0</v>
      </c>
      <c r="L5" s="67">
        <f>Datos!P39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72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604" t="s">
        <v>44</v>
      </c>
      <c r="AP6" s="604"/>
      <c r="AV6" s="184" t="s">
        <v>164</v>
      </c>
      <c r="AW6" s="573"/>
      <c r="AX6" s="183" t="s">
        <v>167</v>
      </c>
      <c r="AY6" s="162" t="s">
        <v>161</v>
      </c>
      <c r="AZ6" s="163"/>
      <c r="BA6" s="164">
        <f>IF(Datos!N5=Datos!$S$8,MAX(E245:E247)/1000000,IF(Datos!N5=Datos!$S$9,MAX(P245:P247)/1000,IF(Datos!N5=Datos!$S$10,MAX(AF245:AF247))))</f>
        <v>2.0000000000000001E-4</v>
      </c>
      <c r="BB6" s="165" t="s">
        <v>9</v>
      </c>
      <c r="BC6" s="185">
        <v>1</v>
      </c>
      <c r="BD6" s="166">
        <f>BA6*BC6</f>
        <v>2.0000000000000001E-4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73"/>
      <c r="AX7" s="169" t="s">
        <v>136</v>
      </c>
      <c r="AY7" s="169" t="s">
        <v>168</v>
      </c>
      <c r="AZ7" s="169"/>
      <c r="BA7" s="170">
        <f>IF(Datos!N5=Datos!$S$8,(Datos!I12/1000000)*SQRT(12),IF(Datos!N5=Datos!$S$9,(Datos!I12/1000)/SQRT(12),IF(Datos!N5=Datos!$S$10,Datos!I12/SQRT(12))))</f>
        <v>2.8867513459481293E-5</v>
      </c>
      <c r="BB7" s="171" t="str">
        <f>BB6</f>
        <v>kg</v>
      </c>
      <c r="BC7" s="186">
        <v>1</v>
      </c>
      <c r="BD7" s="172">
        <f>BA7*BC7</f>
        <v>2.8867513459481293E-5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73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/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74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69" t="s">
        <v>162</v>
      </c>
      <c r="AW10" s="570"/>
      <c r="AX10" s="570"/>
      <c r="AY10" s="570"/>
      <c r="AZ10" s="570"/>
      <c r="BA10" s="570"/>
      <c r="BB10" s="570"/>
      <c r="BC10" s="571"/>
      <c r="BD10" s="265">
        <f>SQRT(SUMSQ(BD6:BD7))</f>
        <v>2.0207259421636903E-4</v>
      </c>
      <c r="BE10" s="182">
        <f>BD10^4/((BD6^4/BE6)+(BD7^4/BE7))</f>
        <v>104.16485900216924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606" t="s">
        <v>36</v>
      </c>
      <c r="O11" s="606"/>
      <c r="P11" s="595" t="s">
        <v>36</v>
      </c>
      <c r="Q11" s="595"/>
      <c r="R11" s="596" t="s">
        <v>36</v>
      </c>
      <c r="S11" s="596"/>
      <c r="T11" s="597" t="s">
        <v>36</v>
      </c>
      <c r="U11" s="597"/>
      <c r="V11" s="598" t="s">
        <v>36</v>
      </c>
      <c r="W11" s="598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565"/>
      <c r="J12" s="565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68" t="s">
        <v>173</v>
      </c>
      <c r="AW12" s="568"/>
      <c r="AX12" s="568"/>
      <c r="AY12" s="568"/>
      <c r="AZ12" s="568"/>
      <c r="BA12" s="568"/>
      <c r="BB12" s="568"/>
      <c r="BC12" s="568"/>
      <c r="BD12" s="568"/>
      <c r="BE12" s="568"/>
    </row>
    <row r="13" spans="1:57" s="7" customFormat="1" ht="27" customHeight="1" x14ac:dyDescent="0.4">
      <c r="A13" s="92"/>
      <c r="B13" s="92"/>
      <c r="C13" s="92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35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72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73"/>
      <c r="AX15" s="183" t="s">
        <v>167</v>
      </c>
      <c r="AY15" s="162" t="s">
        <v>161</v>
      </c>
      <c r="AZ15" s="163"/>
      <c r="BA15" s="164">
        <f>IF(Datos!N5=Datos!$S$8,MAX(J245:J247)/1000000,IF(Datos!N5=Datos!$S$9,MAX(U245:U247)/1000,IF(Datos!N5=Datos!$S$10,MAX(AF245:AF247))))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73"/>
      <c r="AX16" s="169" t="s">
        <v>136</v>
      </c>
      <c r="AY16" s="169" t="s">
        <v>168</v>
      </c>
      <c r="AZ16" s="169"/>
      <c r="BA16" s="170">
        <f>BA7</f>
        <v>2.8867513459481293E-5</v>
      </c>
      <c r="BB16" s="171" t="str">
        <f>BB15</f>
        <v>kg</v>
      </c>
      <c r="BC16" s="186">
        <v>1</v>
      </c>
      <c r="BD16" s="172">
        <f>BA16*BC16</f>
        <v>2.8867513459481293E-5</v>
      </c>
      <c r="BE16" s="173">
        <v>100</v>
      </c>
    </row>
    <row r="17" spans="1:57" ht="29.4" thickTop="1" x14ac:dyDescent="0.3">
      <c r="A17" s="612" t="s">
        <v>2</v>
      </c>
      <c r="B17" s="1" t="s">
        <v>16</v>
      </c>
      <c r="C17" s="2"/>
      <c r="D17" s="13" t="s">
        <v>3</v>
      </c>
      <c r="E17" s="3" t="s">
        <v>4</v>
      </c>
      <c r="F17" s="615" t="s">
        <v>5</v>
      </c>
      <c r="G17" s="616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605" t="s">
        <v>46</v>
      </c>
      <c r="AD17" s="605"/>
      <c r="AE17" s="605"/>
      <c r="AF17" s="605"/>
      <c r="AV17" s="255" t="s">
        <v>166</v>
      </c>
      <c r="AW17" s="573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613"/>
      <c r="B18" s="4" t="s">
        <v>6</v>
      </c>
      <c r="C18" s="4" t="s">
        <v>7</v>
      </c>
      <c r="D18" s="14" t="s">
        <v>8</v>
      </c>
      <c r="E18" s="4" t="s">
        <v>8</v>
      </c>
      <c r="F18" s="615"/>
      <c r="G18" s="616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74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614"/>
      <c r="B19" s="5" t="b">
        <f>IF(Datos!N5=1,"kg",IF(Datos!N5=2,"kg",IF(Datos!N5=3,"kg")))</f>
        <v>0</v>
      </c>
      <c r="C19" s="5" t="b">
        <f>B19</f>
        <v>0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69" t="s">
        <v>162</v>
      </c>
      <c r="AW19" s="570"/>
      <c r="AX19" s="570"/>
      <c r="AY19" s="570"/>
      <c r="AZ19" s="570"/>
      <c r="BA19" s="570"/>
      <c r="BB19" s="570"/>
      <c r="BC19" s="571"/>
      <c r="BD19" s="265">
        <f>SQRT(SUMSQ(BD15:BD16))</f>
        <v>2.8867513459481293E-5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IF(Datos!$N$5=Datos!$S$8,(IF(Datos!$N$5=Datos!$S$8,Datos!D38/1000,IF(Datos!$N$5=Datos!$S$9,Datos!D38/1000,IF(Datos!$N$5=Datos!$S$10,Datos!D38," Error "))))-'punto 1'!$Y$144/1000000,IF(Datos!$N$5=Datos!$S$9,(IF(Datos!$N$5=Datos!$S$8,Datos!D38/1000000,IF(Datos!$N$5=Datos!$S$9,Datos!D38/1000,IF(Datos!$N$5=Datos!$S$10,Datos!D38," Error "))))-'punto 1'!$AJ$144/1000,IF(Datos!$N$5=Datos!$S$10,(IF(Datos!$N$5=Datos!$S$8,Datos!D38/1000000,IF(Datos!$N$5=Datos!$S$9,Datos!D38/1000,IF(Datos!$N$5=Datos!$S$10,Datos!D38," Error "))))-'punto 1'!$AU$144)))</f>
        <v>0</v>
      </c>
      <c r="C20" s="157">
        <f>IF(Datos!$N$5=Datos!$S$8,(IF(Datos!$N$5=Datos!$S$8,Datos!E38/1000,IF(Datos!$N$5=Datos!$S$9,Datos!E38/1000,IF(Datos!$N$5=Datos!$S$10,Datos!E38," Error "))))-'punto 1'!$AD$144/1000000,IF(Datos!$N$5=Datos!$S$9,(IF(Datos!$N$5=Datos!$S$8,Datos!E38/1000000,IF(Datos!$N$5=Datos!$S$9,Datos!E38/1000,IF(Datos!$N$5=Datos!S10,Datos!E38," Error "))))-'punto 1'!$AO$144/1000,IF(Datos!$N$5=Datos!$S$9,(IF(Datos!$N$5=Datos!$S$8,Datos!E38/1000000,IF(Datos!$N$5=Datos!S9,Datos!E38/1000,IF(Datos!$N$5=Datos!$S$10,Datos!E38," Error "))))-'punto 1'!$AZ$144)))</f>
        <v>0</v>
      </c>
      <c r="D20" s="109">
        <f>Datos!F38-E144</f>
        <v>3.7058964238727427E-3</v>
      </c>
      <c r="E20" s="59">
        <f>O18*1000</f>
        <v>999.85331435241267</v>
      </c>
      <c r="F20" s="274">
        <f>(((B20-C20))/8000)*((1/(E20-($J$2)))*(8000-$J$2)*(1-Datos!$K$8*(D20-20)))</f>
        <v>0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IF(Datos!$N$5=Datos!$S$8,(IF(Datos!$N$5=Datos!$S$8,Datos!D39/1000,IF(Datos!$N$5=Datos!$S$9,Datos!D39/1000,IF(Datos!$N$5=Datos!$S$10,Datos!D39," Error "))))-'punto 1'!$Y$144/1000000,IF(Datos!$N$5=Datos!$S$9,(IF(Datos!$N$5=Datos!$S$8,Datos!D39/1000000,IF(Datos!$N$5=Datos!$S$9,Datos!D39/1000,IF(Datos!$N$5=Datos!$S$10,Datos!D39," Error "))))-'punto 1'!$AJ$144/1000,IF(Datos!$N$5=Datos!$S$10,(IF(Datos!$N$5=Datos!$S$8,Datos!D39/1000000,IF(Datos!$N$5=Datos!$S$9,Datos!D39/1000,IF(Datos!$N$5=Datos!$S$10,Datos!D39," Error "))))-'punto 1'!$AU$144)))</f>
        <v>0</v>
      </c>
      <c r="C21" s="157">
        <f>IF(Datos!$N$5=Datos!$S$8,(IF(Datos!$N$5=Datos!$S$8,Datos!E39/1000,IF(Datos!$N$5=Datos!$S$9,Datos!E39/1000,IF(Datos!$N$5=Datos!$S$10,Datos!E39," Error "))))-'punto 1'!$AD$144/1000000,IF(Datos!$N$5=Datos!$S$9,(IF(Datos!$N$5=Datos!$S$8,Datos!E39/1000000,IF(Datos!$N$5=Datos!$S$9,Datos!E39/1000,IF(Datos!$N$5=Datos!S11,Datos!E39," Error "))))-'punto 1'!$AO$144/1000,IF(Datos!$N$5=Datos!$S$9,(IF(Datos!$N$5=Datos!$S$8,Datos!E39/1000000,IF(Datos!$N$5=Datos!S10,Datos!E39/1000,IF(Datos!$N$5=Datos!$S$10,Datos!E39," Error "))))-'punto 1'!$AZ$144)))</f>
        <v>0</v>
      </c>
      <c r="D21" s="109">
        <f>Datos!F39-E161</f>
        <v>3.7052984092811867E-3</v>
      </c>
      <c r="E21" s="59">
        <f>Q18*1000</f>
        <v>999.85331431461441</v>
      </c>
      <c r="F21" s="274">
        <f>(((B21-C21))/8000)*((1/(E21-($J$2)))*(8000-$J$2)*(1-Datos!$K$8*(D21-20)))</f>
        <v>0</v>
      </c>
      <c r="G21" s="625" t="s">
        <v>15</v>
      </c>
      <c r="H21" s="562" t="s">
        <v>17</v>
      </c>
      <c r="I21" s="280"/>
      <c r="J21" s="589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68" t="s">
        <v>177</v>
      </c>
      <c r="AW21" s="568"/>
      <c r="AX21" s="568"/>
      <c r="AY21" s="568"/>
      <c r="AZ21" s="568"/>
      <c r="BA21" s="568"/>
      <c r="BB21" s="568"/>
      <c r="BC21" s="568"/>
      <c r="BD21" s="568"/>
      <c r="BE21" s="568"/>
    </row>
    <row r="22" spans="1:57" ht="50.4" x14ac:dyDescent="0.3">
      <c r="A22" s="9">
        <v>3</v>
      </c>
      <c r="B22" s="157">
        <f>IF(Datos!$N$5=Datos!$S$8,(IF(Datos!$N$5=Datos!$S$8,Datos!D40/1000,IF(Datos!$N$5=Datos!$S$9,Datos!D40/1000,IF(Datos!$N$5=Datos!$S$10,Datos!D40," Error "))))-'punto 1'!$Y$144/1000000,IF(Datos!$N$5=Datos!$S$9,(IF(Datos!$N$5=Datos!$S$8,Datos!D40/1000000,IF(Datos!$N$5=Datos!$S$9,Datos!D40/1000,IF(Datos!$N$5=Datos!$S$10,Datos!D40," Error "))))-'punto 1'!$AJ$144/1000,IF(Datos!$N$5=Datos!$S$10,(IF(Datos!$N$5=Datos!$S$8,Datos!D40/1000000,IF(Datos!$N$5=Datos!$S$9,Datos!D40/1000,IF(Datos!$N$5=Datos!$S$10,Datos!D40," Error "))))-'punto 1'!$AU$144)))</f>
        <v>0</v>
      </c>
      <c r="C22" s="157">
        <f>IF(Datos!$N$5=Datos!$S$8,(IF(Datos!$N$5=Datos!$S$8,Datos!E40/1000,IF(Datos!$N$5=Datos!$S$9,Datos!E40/1000,IF(Datos!$N$5=Datos!$S$10,Datos!E40," Error "))))-'punto 1'!$AD$144/1000000,IF(Datos!$N$5=Datos!$S$9,(IF(Datos!$N$5=Datos!$S$8,Datos!E40/1000000,IF(Datos!$N$5=Datos!$S$9,Datos!E40/1000,IF(Datos!$N$5=Datos!S12,Datos!E40," Error "))))-'punto 1'!$AO$144/1000,IF(Datos!$N$5=Datos!$S$9,(IF(Datos!$N$5=Datos!$S$8,Datos!E40/1000000,IF(Datos!$N$5=Datos!S11,Datos!E40/1000,IF(Datos!$N$5=Datos!$S$10,Datos!E40," Error "))))-'punto 1'!$AZ$144)))</f>
        <v>0</v>
      </c>
      <c r="D22" s="109">
        <f>Datos!F40-E178</f>
        <v>3.7052984092811867E-3</v>
      </c>
      <c r="E22" s="59">
        <f>S18*1000</f>
        <v>999.85331431461441</v>
      </c>
      <c r="F22" s="274">
        <f>(((B22-C22))/8000)*((1/(E22-($J$2)))*(8000-$J$2)*(1-Datos!$K$8*(D22-20)))</f>
        <v>0</v>
      </c>
      <c r="G22" s="625"/>
      <c r="H22" s="562"/>
      <c r="I22" s="281"/>
      <c r="J22" s="589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IF(Datos!$N$5=Datos!$S$8,(IF(Datos!$N$5=Datos!$S$8,Datos!D41/1000,IF(Datos!$N$5=Datos!$S$9,Datos!D41/1000,IF(Datos!$N$5=Datos!$S$10,Datos!D41," Error "))))-'punto 1'!$Y$144/1000000,IF(Datos!$N$5=Datos!$S$9,(IF(Datos!$N$5=Datos!$S$8,Datos!D41/1000000,IF(Datos!$N$5=Datos!$S$9,Datos!D41/1000,IF(Datos!$N$5=Datos!$S$10,Datos!D41," Error "))))-'punto 1'!$AJ$144/1000,IF(Datos!$N$5=Datos!$S$10,(IF(Datos!$N$5=Datos!$S$8,Datos!D41/1000000,IF(Datos!$N$5=Datos!$S$9,Datos!D41/1000,IF(Datos!$N$5=Datos!$S$10,Datos!D41," Error "))))-'punto 1'!$AU$144)))</f>
        <v>0</v>
      </c>
      <c r="C23" s="157">
        <f>IF(Datos!$N$5=Datos!$S$8,(IF(Datos!$N$5=Datos!$S$8,Datos!E41/1000,IF(Datos!$N$5=Datos!$S$9,Datos!E41/1000,IF(Datos!$N$5=Datos!$S$10,Datos!E41," Error "))))-'punto 1'!$AD$144/1000000,IF(Datos!$N$5=Datos!$S$9,(IF(Datos!$N$5=Datos!$S$8,Datos!E41/1000000,IF(Datos!$N$5=Datos!$S$9,Datos!E41/1000,IF(Datos!$N$5=Datos!S13,Datos!E41," Error "))))-'punto 1'!$AO$144/1000,IF(Datos!$N$5=Datos!$S$9,(IF(Datos!$N$5=Datos!$S$8,Datos!E41/1000000,IF(Datos!$N$5=Datos!S12,Datos!E41/1000,IF(Datos!$N$5=Datos!$S$10,Datos!E41," Error "))))-'punto 1'!$AZ$144)))</f>
        <v>0</v>
      </c>
      <c r="D23" s="109">
        <f>Datos!F41-E195</f>
        <v>3.7056572180361202E-3</v>
      </c>
      <c r="E23" s="79">
        <f>U18*1000</f>
        <v>999.85331433729334</v>
      </c>
      <c r="F23" s="274">
        <f>(((B23-C23))/8000)*((1/(E23-($J$2)))*(8000-$J$2)*(1-Datos!$K$8*(D23-20)))</f>
        <v>0</v>
      </c>
      <c r="G23" s="624" t="s">
        <v>13</v>
      </c>
      <c r="H23" s="625"/>
      <c r="I23" s="273"/>
      <c r="J23" s="278"/>
      <c r="AE23" s="25" t="s">
        <v>18</v>
      </c>
      <c r="AF23" s="25">
        <f>AVERAGE(AF18:AF22)</f>
        <v>999.83551560855381</v>
      </c>
      <c r="AV23" s="134"/>
      <c r="AW23" s="572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IF(Datos!$N$5=Datos!$S$8,(IF(Datos!$N$5=Datos!$S$8,Datos!D42/1000,IF(Datos!$N$5=Datos!$S$9,Datos!D42/1000,IF(Datos!$N$5=Datos!$S$10,Datos!D42," Error "))))-'punto 1'!$Y$144/1000000,IF(Datos!$N$5=Datos!$S$9,(IF(Datos!$N$5=Datos!$S$8,Datos!D42/1000000,IF(Datos!$N$5=Datos!$S$9,Datos!D42/1000,IF(Datos!$N$5=Datos!$S$10,Datos!D42," Error "))))-'punto 1'!$AJ$144/1000,IF(Datos!$N$5=Datos!$S$10,(IF(Datos!$N$5=Datos!$S$8,Datos!D42/1000000,IF(Datos!$N$5=Datos!$S$9,Datos!D42/1000,IF(Datos!$N$5=Datos!$S$10,Datos!D42," Error "))))-'punto 1'!$AU$144)))</f>
        <v>0</v>
      </c>
      <c r="C24" s="157">
        <f>IF(Datos!$N$5=Datos!$S$8,(IF(Datos!$N$5=Datos!$S$8,Datos!E42/1000,IF(Datos!$N$5=Datos!$S$9,Datos!E42/1000,IF(Datos!$N$5=Datos!$S$10,Datos!E42," Error "))))-'punto 1'!$AD$144/1000000,IF(Datos!$N$5=Datos!$S$9,(IF(Datos!$N$5=Datos!$S$8,Datos!E42/1000000,IF(Datos!$N$5=Datos!$S$9,Datos!E42/1000,IF(Datos!$N$5=Datos!S14,Datos!E42," Error "))))-'punto 1'!$AO$144/1000,IF(Datos!$N$5=Datos!$S$9,(IF(Datos!$N$5=Datos!$S$8,Datos!E42/1000000,IF(Datos!$N$5=Datos!S13,Datos!E42/1000,IF(Datos!$N$5=Datos!$S$10,Datos!E42," Error "))))-'punto 1'!$AZ$144)))</f>
        <v>0</v>
      </c>
      <c r="D24" s="109">
        <f>Datos!F42-E212</f>
        <v>3.7057369533149941E-3</v>
      </c>
      <c r="E24" s="79">
        <f>W18*1000</f>
        <v>999.85331434233319</v>
      </c>
      <c r="F24" s="274">
        <f>(((B24-C24))/8000)*((1/(E24-($J$2)))*(8000-$J$2)*(1-Datos!$K$8*(D24-20)))</f>
        <v>0</v>
      </c>
      <c r="G24" s="275">
        <f>IF(Datos!U4=Datos!$U$5,AVERAGE(F20:F24)*1000000,IF(Datos!U4=Datos!$U$6,AVERAGE(F20:F24)*1000000))</f>
        <v>0</v>
      </c>
      <c r="H24" s="283">
        <f>G24-Datos!E34</f>
        <v>-10000</v>
      </c>
      <c r="I24" s="282"/>
      <c r="J24" s="279"/>
      <c r="AV24" s="184" t="s">
        <v>164</v>
      </c>
      <c r="AW24" s="573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73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73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74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69" t="s">
        <v>162</v>
      </c>
      <c r="AW28" s="570"/>
      <c r="AX28" s="570"/>
      <c r="AY28" s="570"/>
      <c r="AZ28" s="570"/>
      <c r="BA28" s="570"/>
      <c r="BB28" s="570"/>
      <c r="BC28" s="571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2.0207259421636903E-4</v>
      </c>
      <c r="M29" s="190" t="s">
        <v>9</v>
      </c>
      <c r="N29" s="218">
        <f>(((1))/8000)*((1/(E20-($J$2)))*(8000-$J$2)*(1-Datos!$K$8*(B35-20)))</f>
        <v>1.0121462809371273E-3</v>
      </c>
      <c r="O29" s="229" t="s">
        <v>212</v>
      </c>
      <c r="P29" s="223">
        <f t="shared" ref="P29:P36" si="0">(L29*N29)</f>
        <v>2.0452702471541517E-7</v>
      </c>
      <c r="Q29" s="191">
        <f>BE10</f>
        <v>104.16485900216924</v>
      </c>
      <c r="R29" s="138">
        <f>(P29/$P$38)^2</f>
        <v>0.19986161764867705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2.8867513459481293E-5</v>
      </c>
      <c r="M30" s="196" t="s">
        <v>9</v>
      </c>
      <c r="N30" s="219">
        <f>(((-1))/8000)*((1/(E20-($J$2)))*(8000-$J$2)*(1-Datos!$K$8*(B35-20)))</f>
        <v>-1.0121462809371273E-3</v>
      </c>
      <c r="O30" s="196" t="s">
        <v>212</v>
      </c>
      <c r="P30" s="224">
        <f t="shared" si="0"/>
        <v>-2.9218146387916457E-8</v>
      </c>
      <c r="Q30" s="150">
        <f>BE19</f>
        <v>100</v>
      </c>
      <c r="R30" s="296">
        <f t="shared" ref="R30:R36" si="1">(P30/$P$38)^2</f>
        <v>4.078808523442389E-3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0</v>
      </c>
      <c r="O31" s="229" t="s">
        <v>190</v>
      </c>
      <c r="P31" s="223">
        <f t="shared" si="0"/>
        <v>0</v>
      </c>
      <c r="Q31" s="230">
        <f>BE28</f>
        <v>100.0015040689135</v>
      </c>
      <c r="R31" s="138">
        <f t="shared" si="1"/>
        <v>0</v>
      </c>
      <c r="AV31" s="134"/>
      <c r="AW31" s="572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0</v>
      </c>
      <c r="O32" s="77" t="s">
        <v>190</v>
      </c>
      <c r="P32" s="225">
        <f t="shared" si="0"/>
        <v>0</v>
      </c>
      <c r="Q32" s="142">
        <v>100</v>
      </c>
      <c r="R32" s="296">
        <f t="shared" si="1"/>
        <v>0</v>
      </c>
      <c r="AV32" s="184" t="s">
        <v>164</v>
      </c>
      <c r="AW32" s="573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165" t="s">
        <v>235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0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0</v>
      </c>
      <c r="O33" s="190" t="s">
        <v>211</v>
      </c>
      <c r="P33" s="261">
        <f t="shared" si="0"/>
        <v>0</v>
      </c>
      <c r="Q33" s="149">
        <v>100</v>
      </c>
      <c r="R33" s="138">
        <f t="shared" si="1"/>
        <v>0</v>
      </c>
      <c r="AV33" s="168" t="s">
        <v>165</v>
      </c>
      <c r="AW33" s="573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0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1.7320508075688774E-5</v>
      </c>
      <c r="M34" s="196" t="s">
        <v>197</v>
      </c>
      <c r="N34" s="232">
        <f>--((B31-B32)*(8000-J2)*(B35-20))/(8000*(X19-J2))</f>
        <v>0</v>
      </c>
      <c r="O34" s="159" t="s">
        <v>208</v>
      </c>
      <c r="P34" s="224">
        <f t="shared" si="0"/>
        <v>0</v>
      </c>
      <c r="Q34" s="160">
        <v>100</v>
      </c>
      <c r="R34" s="296">
        <f t="shared" si="1"/>
        <v>0</v>
      </c>
      <c r="AV34" s="581" t="s">
        <v>166</v>
      </c>
      <c r="AW34" s="573"/>
      <c r="AX34" s="174" t="s">
        <v>135</v>
      </c>
      <c r="AY34" s="174" t="s">
        <v>169</v>
      </c>
      <c r="AZ34" s="174"/>
      <c r="BA34" s="566">
        <f>(MAX(J3:K3)-MIN(J3:K3))/SQRT(24)</f>
        <v>3.1045497373677892E-4</v>
      </c>
      <c r="BB34" s="577" t="str">
        <f>BB33</f>
        <v>0C</v>
      </c>
      <c r="BC34" s="575">
        <v>1</v>
      </c>
      <c r="BD34" s="566">
        <f>BA34*BC34</f>
        <v>3.1045497373677892E-4</v>
      </c>
      <c r="BE34" s="586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0</v>
      </c>
      <c r="O35" s="229" t="s">
        <v>209</v>
      </c>
      <c r="P35" s="223">
        <f t="shared" si="0"/>
        <v>0</v>
      </c>
      <c r="Q35" s="148">
        <v>100</v>
      </c>
      <c r="R35" s="138">
        <f t="shared" si="1"/>
        <v>0</v>
      </c>
      <c r="AV35" s="582"/>
      <c r="AW35" s="574"/>
      <c r="AX35" s="178"/>
      <c r="AY35" s="178"/>
      <c r="AZ35" s="178"/>
      <c r="BA35" s="567"/>
      <c r="BB35" s="578"/>
      <c r="BC35" s="576"/>
      <c r="BD35" s="567"/>
      <c r="BE35" s="587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(IF(Datos!$P$5=B5,VLOOKUP(Datos!P5,B5:C8,2,FALSE)/1000000,IF(Datos!$P$5=B6,VLOOKUP(Datos!P5,B5:C8,2,FALSE)/1000000,IF(Datos!$P$5=B7,VLOOKUP(Datos!P5,B5:C8,2,FALSE)/1000000,IF(Datos!$P$5=B8,VLOOKUP(Datos!P5,B5:C8,2,FALSE)/1000000," Error ")))))/SQRT(3)</f>
        <v>4.0818664031706544E-7</v>
      </c>
      <c r="M36" s="196" t="s">
        <v>200</v>
      </c>
      <c r="N36" s="222">
        <v>1</v>
      </c>
      <c r="O36" s="46">
        <v>1</v>
      </c>
      <c r="P36" s="226">
        <f t="shared" si="0"/>
        <v>4.0818664031706544E-7</v>
      </c>
      <c r="Q36" s="142">
        <v>100</v>
      </c>
      <c r="R36" s="296">
        <f t="shared" si="1"/>
        <v>0.7960595738278804</v>
      </c>
      <c r="AV36" s="569" t="s">
        <v>162</v>
      </c>
      <c r="AW36" s="570"/>
      <c r="AX36" s="570"/>
      <c r="AY36" s="570"/>
      <c r="AZ36" s="570"/>
      <c r="BA36" s="570"/>
      <c r="BB36" s="570"/>
      <c r="BC36" s="571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0</v>
      </c>
      <c r="M37" s="190" t="s">
        <v>200</v>
      </c>
      <c r="N37" s="294">
        <v>1</v>
      </c>
      <c r="O37" s="293">
        <v>1</v>
      </c>
      <c r="P37" s="261">
        <f>L37*N37</f>
        <v>0</v>
      </c>
      <c r="Q37" s="295">
        <f>COUNT(F20:F24)-1</f>
        <v>4</v>
      </c>
      <c r="R37" s="297">
        <f>P37^2/$P$38^2</f>
        <v>0</v>
      </c>
    </row>
    <row r="38" spans="1:57" ht="50.4" x14ac:dyDescent="0.3">
      <c r="A38" s="22"/>
      <c r="B38" s="258"/>
      <c r="C38" s="258"/>
      <c r="F38" s="22"/>
      <c r="G38" s="590" t="s">
        <v>213</v>
      </c>
      <c r="H38" s="591"/>
      <c r="I38" s="591"/>
      <c r="J38" s="591"/>
      <c r="K38" s="591"/>
      <c r="L38" s="591"/>
      <c r="M38" s="591"/>
      <c r="N38" s="592"/>
      <c r="O38" s="60"/>
      <c r="P38" s="263">
        <f>SQRT(SUMSQ(P29:P37))</f>
        <v>4.5749463084348776E-7</v>
      </c>
      <c r="Q38" s="60"/>
      <c r="R38" s="298">
        <f>SUM(R29:R37)</f>
        <v>0.99999999999999978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607" t="s">
        <v>127</v>
      </c>
      <c r="H39" s="608"/>
      <c r="I39" s="608"/>
      <c r="J39" s="608"/>
      <c r="K39" s="608"/>
      <c r="L39" s="608"/>
      <c r="M39" s="608"/>
      <c r="N39" s="608"/>
      <c r="O39" s="151"/>
      <c r="P39" s="152">
        <f>P38^4/((P29^4/Q29)+(P30^4/Q30)+(P31^4/Q31)+(P32^4/Q32)+(P33^4/Q33)+(P34^4/Q34)+(P35^4/Q35)+(P36^4/Q36))</f>
        <v>148.79291152601621</v>
      </c>
      <c r="Q39" s="152"/>
      <c r="R39" s="153"/>
      <c r="AV39" s="134"/>
      <c r="AW39" s="572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609" t="s">
        <v>128</v>
      </c>
      <c r="H40" s="610"/>
      <c r="I40" s="610"/>
      <c r="J40" s="610"/>
      <c r="K40" s="610"/>
      <c r="L40" s="610"/>
      <c r="M40" s="610"/>
      <c r="N40" s="610"/>
      <c r="O40" s="60"/>
      <c r="P40" s="227">
        <f>IF(P39&gt;20,2,HLOOKUP(P39,A44:V45,2))</f>
        <v>2</v>
      </c>
      <c r="Q40" s="154"/>
      <c r="R40" s="154"/>
      <c r="AV40" s="184" t="s">
        <v>164</v>
      </c>
      <c r="AW40" s="573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73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1" t="s">
        <v>166</v>
      </c>
      <c r="AW42" s="573"/>
      <c r="AX42" s="174" t="s">
        <v>135</v>
      </c>
      <c r="AY42" s="174" t="s">
        <v>169</v>
      </c>
      <c r="AZ42" s="174"/>
      <c r="BA42" s="566">
        <f>((MAX(J4:K4)-MIN(J4:K4))/100)/SQRT(24)</f>
        <v>2.6108902297107545E-4</v>
      </c>
      <c r="BB42" s="577" t="str">
        <f>BB41</f>
        <v>%</v>
      </c>
      <c r="BC42" s="575">
        <v>1</v>
      </c>
      <c r="BD42" s="566">
        <f>BA42*BC42</f>
        <v>2.6108902297107545E-4</v>
      </c>
      <c r="BE42" s="586">
        <v>1</v>
      </c>
    </row>
    <row r="43" spans="1:57" ht="13.8" thickBot="1" x14ac:dyDescent="0.3">
      <c r="A43" s="599" t="s">
        <v>40</v>
      </c>
      <c r="B43" s="600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1"/>
      <c r="AV43" s="582"/>
      <c r="AW43" s="574"/>
      <c r="AX43" s="178"/>
      <c r="AY43" s="178"/>
      <c r="AZ43" s="178"/>
      <c r="BA43" s="567"/>
      <c r="BB43" s="578"/>
      <c r="BC43" s="576"/>
      <c r="BD43" s="567"/>
      <c r="BE43" s="587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69" t="s">
        <v>162</v>
      </c>
      <c r="AW44" s="570"/>
      <c r="AX44" s="570"/>
      <c r="AY44" s="570"/>
      <c r="AZ44" s="570"/>
      <c r="BA44" s="570"/>
      <c r="BB44" s="570"/>
      <c r="BC44" s="571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72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73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73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73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74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69" t="s">
        <v>162</v>
      </c>
      <c r="AW52" s="570"/>
      <c r="AX52" s="570"/>
      <c r="AY52" s="570"/>
      <c r="AZ52" s="570"/>
      <c r="BA52" s="570"/>
      <c r="BB52" s="570"/>
      <c r="BC52" s="571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68" t="s">
        <v>203</v>
      </c>
      <c r="AW55" s="568"/>
      <c r="AX55" s="568"/>
      <c r="AY55" s="568"/>
      <c r="AZ55" s="568"/>
      <c r="BA55" s="568"/>
      <c r="BB55" s="568"/>
      <c r="BC55" s="568"/>
      <c r="BD55" s="568"/>
      <c r="BE55" s="56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72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73"/>
      <c r="AX59" s="183" t="s">
        <v>167</v>
      </c>
      <c r="AY59" s="162" t="s">
        <v>161</v>
      </c>
      <c r="AZ59" s="163"/>
      <c r="BA59" s="164">
        <f>MAX('punto 1'!F143:F145)/2</f>
        <v>0.01</v>
      </c>
      <c r="BB59" s="165" t="s">
        <v>235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73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73"/>
      <c r="AX61" s="174" t="s">
        <v>135</v>
      </c>
      <c r="AY61" s="174" t="s">
        <v>169</v>
      </c>
      <c r="AZ61" s="174"/>
      <c r="BA61" s="566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74"/>
      <c r="AX62" s="178"/>
      <c r="AY62" s="178"/>
      <c r="AZ62" s="178"/>
      <c r="BA62" s="567"/>
      <c r="BB62" s="254"/>
      <c r="BC62" s="252"/>
      <c r="BD62" s="248"/>
      <c r="BE62" s="250"/>
    </row>
    <row r="63" spans="1:57" x14ac:dyDescent="0.25">
      <c r="AV63" s="569" t="s">
        <v>162</v>
      </c>
      <c r="AW63" s="570"/>
      <c r="AX63" s="570"/>
      <c r="AY63" s="570"/>
      <c r="AZ63" s="570"/>
      <c r="BA63" s="570"/>
      <c r="BB63" s="570"/>
      <c r="BC63" s="571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3"/>
      <c r="C79" s="593"/>
      <c r="D79" s="593"/>
      <c r="E79" s="593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8"/>
      <c r="C95" s="588"/>
      <c r="D95" s="588"/>
      <c r="E95" s="588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565"/>
      <c r="C97" s="565"/>
      <c r="D97" s="565"/>
      <c r="E97" s="565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565"/>
      <c r="C103" s="565"/>
      <c r="D103" s="565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583" t="s">
        <v>105</v>
      </c>
      <c r="D139" s="583"/>
      <c r="E139" s="583"/>
      <c r="F139" s="583"/>
      <c r="J139" s="330"/>
      <c r="K139" s="611" t="s">
        <v>0</v>
      </c>
      <c r="L139" s="611"/>
      <c r="M139" s="611"/>
      <c r="N139" s="611"/>
      <c r="O139" s="611"/>
      <c r="P139" s="611"/>
      <c r="Q139" s="611"/>
      <c r="R139" s="611"/>
      <c r="S139" s="611"/>
      <c r="W139" s="579" t="s">
        <v>135</v>
      </c>
      <c r="X139" s="579"/>
      <c r="Y139" s="579"/>
      <c r="Z139" s="579"/>
      <c r="AA139" s="579"/>
      <c r="AB139" s="579"/>
      <c r="AC139" s="579"/>
      <c r="AD139" s="579"/>
      <c r="AE139" s="579"/>
      <c r="AH139" s="579" t="s">
        <v>135</v>
      </c>
      <c r="AI139" s="579"/>
      <c r="AJ139" s="579"/>
      <c r="AK139" s="579"/>
      <c r="AL139" s="579"/>
      <c r="AM139" s="579"/>
      <c r="AN139" s="579"/>
      <c r="AO139" s="579"/>
      <c r="AP139" s="579"/>
      <c r="AS139" s="579" t="s">
        <v>135</v>
      </c>
      <c r="AT139" s="579"/>
      <c r="AU139" s="579"/>
      <c r="AV139" s="579"/>
      <c r="AW139" s="579"/>
      <c r="AX139" s="579"/>
      <c r="AY139" s="579"/>
      <c r="AZ139" s="579"/>
      <c r="BA139" s="579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79"/>
      <c r="X140" s="579"/>
      <c r="Y140" s="579"/>
      <c r="Z140" s="579"/>
      <c r="AA140" s="579"/>
      <c r="AB140" s="579"/>
      <c r="AC140" s="579"/>
      <c r="AD140" s="579"/>
      <c r="AE140" s="579"/>
      <c r="AH140" s="579"/>
      <c r="AI140" s="579"/>
      <c r="AJ140" s="579"/>
      <c r="AK140" s="579"/>
      <c r="AL140" s="579"/>
      <c r="AM140" s="579"/>
      <c r="AN140" s="579"/>
      <c r="AO140" s="579"/>
      <c r="AP140" s="579"/>
      <c r="AS140" s="579"/>
      <c r="AT140" s="579"/>
      <c r="AU140" s="579"/>
      <c r="AV140" s="579"/>
      <c r="AW140" s="579"/>
      <c r="AX140" s="579"/>
      <c r="AY140" s="579"/>
      <c r="AZ140" s="579"/>
      <c r="BA140" s="579"/>
    </row>
    <row r="141" spans="2:53" ht="15.6" x14ac:dyDescent="0.3">
      <c r="B141" s="330"/>
      <c r="C141" s="580" t="s">
        <v>103</v>
      </c>
      <c r="D141" s="580"/>
      <c r="E141" s="580"/>
      <c r="F141" s="580"/>
      <c r="J141" s="330"/>
      <c r="K141" s="580" t="s">
        <v>103</v>
      </c>
      <c r="L141" s="580"/>
      <c r="M141" s="580"/>
      <c r="N141" s="580"/>
      <c r="O141" s="330"/>
      <c r="P141" s="580" t="s">
        <v>103</v>
      </c>
      <c r="Q141" s="580"/>
      <c r="R141" s="580"/>
      <c r="S141" s="580"/>
      <c r="V141" s="330"/>
      <c r="W141" s="580" t="s">
        <v>92</v>
      </c>
      <c r="X141" s="580"/>
      <c r="Y141" s="580"/>
      <c r="Z141" s="580"/>
      <c r="AA141" s="330"/>
      <c r="AB141" s="580" t="s">
        <v>136</v>
      </c>
      <c r="AC141" s="580"/>
      <c r="AD141" s="580"/>
      <c r="AE141" s="580"/>
      <c r="AG141" s="330"/>
      <c r="AH141" s="580" t="s">
        <v>92</v>
      </c>
      <c r="AI141" s="580"/>
      <c r="AJ141" s="580"/>
      <c r="AK141" s="580"/>
      <c r="AL141" s="330"/>
      <c r="AM141" s="580" t="s">
        <v>136</v>
      </c>
      <c r="AN141" s="580"/>
      <c r="AO141" s="580"/>
      <c r="AP141" s="580"/>
      <c r="AR141" s="330"/>
      <c r="AS141" s="580" t="s">
        <v>92</v>
      </c>
      <c r="AT141" s="580"/>
      <c r="AU141" s="580"/>
      <c r="AV141" s="580"/>
      <c r="AW141" s="330"/>
      <c r="AX141" s="580" t="s">
        <v>136</v>
      </c>
      <c r="AY141" s="580"/>
      <c r="AZ141" s="580"/>
      <c r="BA141" s="580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[1]Datos!F26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[1]Datos!N25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[1]Datos!O25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[1]Datos!D26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[1]Datos!E26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80" t="s">
        <v>103</v>
      </c>
      <c r="D147" s="580"/>
      <c r="E147" s="580"/>
      <c r="F147" s="339"/>
      <c r="J147" s="330"/>
      <c r="K147" s="580" t="s">
        <v>27</v>
      </c>
      <c r="L147" s="580"/>
      <c r="M147" s="580"/>
      <c r="N147" s="339"/>
      <c r="O147" s="584" t="s">
        <v>27</v>
      </c>
      <c r="P147" s="584"/>
      <c r="Q147" s="584"/>
      <c r="R147" s="584"/>
      <c r="S147" s="58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80" t="s">
        <v>103</v>
      </c>
      <c r="D158" s="580"/>
      <c r="E158" s="580"/>
      <c r="F158" s="58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84" t="s">
        <v>28</v>
      </c>
      <c r="L159" s="584"/>
      <c r="M159" s="584"/>
      <c r="N159" s="584"/>
      <c r="O159" s="330"/>
      <c r="P159" s="584" t="s">
        <v>28</v>
      </c>
      <c r="Q159" s="584"/>
      <c r="R159" s="584"/>
      <c r="S159" s="58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[1]Datos!F27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80" t="s">
        <v>92</v>
      </c>
      <c r="X161" s="580"/>
      <c r="Y161" s="580"/>
      <c r="Z161" s="580"/>
      <c r="AA161" s="330"/>
      <c r="AB161" s="580" t="s">
        <v>136</v>
      </c>
      <c r="AC161" s="580"/>
      <c r="AD161" s="580"/>
      <c r="AE161" s="580"/>
      <c r="AG161" s="330"/>
      <c r="AH161" s="580" t="s">
        <v>92</v>
      </c>
      <c r="AI161" s="580"/>
      <c r="AJ161" s="580"/>
      <c r="AK161" s="580"/>
      <c r="AL161" s="330"/>
      <c r="AM161" s="580" t="s">
        <v>136</v>
      </c>
      <c r="AN161" s="580"/>
      <c r="AO161" s="580"/>
      <c r="AP161" s="580"/>
      <c r="AR161" s="330"/>
      <c r="AS161" s="580" t="s">
        <v>92</v>
      </c>
      <c r="AT161" s="580"/>
      <c r="AU161" s="580"/>
      <c r="AV161" s="580"/>
      <c r="AW161" s="330"/>
      <c r="AX161" s="580" t="s">
        <v>136</v>
      </c>
      <c r="AY161" s="580"/>
      <c r="AZ161" s="580"/>
      <c r="BA161" s="580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[1]Datos!N26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[1]Datos!O26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80" t="s">
        <v>103</v>
      </c>
      <c r="D164" s="580"/>
      <c r="E164" s="580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[1]Datos!D27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[1]Datos!E27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84" t="s">
        <v>130</v>
      </c>
      <c r="L165" s="584"/>
      <c r="M165" s="584"/>
      <c r="N165" s="584"/>
      <c r="O165" s="330"/>
      <c r="P165" s="584" t="s">
        <v>130</v>
      </c>
      <c r="Q165" s="584"/>
      <c r="R165" s="584"/>
      <c r="S165" s="58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80" t="s">
        <v>131</v>
      </c>
      <c r="L174" s="580"/>
      <c r="M174" s="580"/>
      <c r="N174" s="580"/>
      <c r="O174" s="330"/>
      <c r="P174" s="580" t="s">
        <v>131</v>
      </c>
      <c r="Q174" s="580"/>
      <c r="R174" s="580"/>
      <c r="S174" s="580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80" t="s">
        <v>103</v>
      </c>
      <c r="D175" s="580"/>
      <c r="E175" s="580"/>
      <c r="F175" s="580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[1]Datos!N27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[1]Datos!O27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[1]Datos!F28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80" t="s">
        <v>103</v>
      </c>
      <c r="D181" s="580"/>
      <c r="E181" s="580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80" t="s">
        <v>92</v>
      </c>
      <c r="X181" s="580"/>
      <c r="Y181" s="580"/>
      <c r="Z181" s="580"/>
      <c r="AA181" s="330"/>
      <c r="AB181" s="580" t="s">
        <v>136</v>
      </c>
      <c r="AC181" s="580"/>
      <c r="AD181" s="580"/>
      <c r="AE181" s="580"/>
      <c r="AG181" s="330"/>
      <c r="AH181" s="580" t="s">
        <v>92</v>
      </c>
      <c r="AI181" s="580"/>
      <c r="AJ181" s="580"/>
      <c r="AK181" s="580"/>
      <c r="AL181" s="330"/>
      <c r="AM181" s="580" t="s">
        <v>136</v>
      </c>
      <c r="AN181" s="580"/>
      <c r="AO181" s="580"/>
      <c r="AP181" s="580"/>
      <c r="AR181" s="330"/>
      <c r="AS181" s="580" t="s">
        <v>92</v>
      </c>
      <c r="AT181" s="580"/>
      <c r="AU181" s="580"/>
      <c r="AV181" s="580"/>
      <c r="AW181" s="330"/>
      <c r="AX181" s="580" t="s">
        <v>136</v>
      </c>
      <c r="AY181" s="580"/>
      <c r="AZ181" s="580"/>
      <c r="BA181" s="580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[1]Datos!D28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[1]Datos!E28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80" t="s">
        <v>103</v>
      </c>
      <c r="D192" s="580"/>
      <c r="E192" s="580"/>
      <c r="F192" s="580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[1]Datos!F29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80" t="s">
        <v>103</v>
      </c>
      <c r="D198" s="580"/>
      <c r="E198" s="580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80" t="s">
        <v>92</v>
      </c>
      <c r="X201" s="580"/>
      <c r="Y201" s="580"/>
      <c r="Z201" s="580"/>
      <c r="AA201" s="330"/>
      <c r="AB201" s="580" t="s">
        <v>136</v>
      </c>
      <c r="AC201" s="580"/>
      <c r="AD201" s="580"/>
      <c r="AE201" s="580"/>
      <c r="AG201" s="330"/>
      <c r="AH201" s="580" t="s">
        <v>92</v>
      </c>
      <c r="AI201" s="580"/>
      <c r="AJ201" s="580"/>
      <c r="AK201" s="580"/>
      <c r="AL201" s="330"/>
      <c r="AM201" s="580" t="s">
        <v>136</v>
      </c>
      <c r="AN201" s="580"/>
      <c r="AO201" s="580"/>
      <c r="AP201" s="580"/>
      <c r="AR201" s="330"/>
      <c r="AS201" s="580" t="s">
        <v>92</v>
      </c>
      <c r="AT201" s="580"/>
      <c r="AU201" s="580"/>
      <c r="AV201" s="580"/>
      <c r="AW201" s="330"/>
      <c r="AX201" s="580" t="s">
        <v>136</v>
      </c>
      <c r="AY201" s="580"/>
      <c r="AZ201" s="580"/>
      <c r="BA201" s="580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[1]Datos!D29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[1]Datos!E29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80" t="s">
        <v>103</v>
      </c>
      <c r="D209" s="580"/>
      <c r="E209" s="580"/>
      <c r="F209" s="580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[1]Datos!F30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80" t="s">
        <v>27</v>
      </c>
      <c r="D215" s="580"/>
      <c r="E215" s="580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80" t="s">
        <v>92</v>
      </c>
      <c r="X221" s="580"/>
      <c r="Y221" s="580"/>
      <c r="Z221" s="580"/>
      <c r="AA221" s="330"/>
      <c r="AB221" s="580" t="s">
        <v>136</v>
      </c>
      <c r="AC221" s="580"/>
      <c r="AD221" s="580"/>
      <c r="AE221" s="580"/>
      <c r="AG221" s="330"/>
      <c r="AH221" s="580" t="s">
        <v>92</v>
      </c>
      <c r="AI221" s="580"/>
      <c r="AJ221" s="580"/>
      <c r="AK221" s="580"/>
      <c r="AL221" s="330"/>
      <c r="AM221" s="580" t="s">
        <v>136</v>
      </c>
      <c r="AN221" s="580"/>
      <c r="AO221" s="580"/>
      <c r="AP221" s="580"/>
      <c r="AR221" s="330"/>
      <c r="AS221" s="580" t="s">
        <v>92</v>
      </c>
      <c r="AT221" s="580"/>
      <c r="AU221" s="580"/>
      <c r="AV221" s="580"/>
      <c r="AW221" s="330"/>
      <c r="AX221" s="580" t="s">
        <v>136</v>
      </c>
      <c r="AY221" s="580"/>
      <c r="AZ221" s="580"/>
      <c r="BA221" s="580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[1]Datos!D30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[1]Datos!E30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79" t="s">
        <v>135</v>
      </c>
      <c r="C241" s="579"/>
      <c r="D241" s="579"/>
      <c r="E241" s="579"/>
      <c r="F241" s="579"/>
      <c r="G241" s="579"/>
      <c r="H241" s="579"/>
      <c r="I241" s="579"/>
      <c r="J241" s="579"/>
      <c r="M241" s="579" t="s">
        <v>135</v>
      </c>
      <c r="N241" s="579"/>
      <c r="O241" s="579"/>
      <c r="P241" s="579"/>
      <c r="Q241" s="579"/>
      <c r="R241" s="579"/>
      <c r="S241" s="579"/>
      <c r="T241" s="579"/>
      <c r="U241" s="579"/>
      <c r="X241" s="579" t="s">
        <v>135</v>
      </c>
      <c r="Y241" s="579"/>
      <c r="Z241" s="579"/>
      <c r="AA241" s="579"/>
      <c r="AB241" s="579"/>
      <c r="AC241" s="579"/>
      <c r="AD241" s="579"/>
      <c r="AE241" s="579"/>
      <c r="AF241" s="579"/>
    </row>
    <row r="242" spans="1:32" ht="13.2" customHeight="1" x14ac:dyDescent="0.25">
      <c r="B242" s="579"/>
      <c r="C242" s="579"/>
      <c r="D242" s="579"/>
      <c r="E242" s="579"/>
      <c r="F242" s="579"/>
      <c r="G242" s="579"/>
      <c r="H242" s="579"/>
      <c r="I242" s="579"/>
      <c r="J242" s="579"/>
      <c r="M242" s="579"/>
      <c r="N242" s="579"/>
      <c r="O242" s="579"/>
      <c r="P242" s="579"/>
      <c r="Q242" s="579"/>
      <c r="R242" s="579"/>
      <c r="S242" s="579"/>
      <c r="T242" s="579"/>
      <c r="U242" s="579"/>
      <c r="X242" s="579"/>
      <c r="Y242" s="579"/>
      <c r="Z242" s="579"/>
      <c r="AA242" s="579"/>
      <c r="AB242" s="579"/>
      <c r="AC242" s="579"/>
      <c r="AD242" s="579"/>
      <c r="AE242" s="579"/>
      <c r="AF242" s="579"/>
    </row>
    <row r="243" spans="1:32" ht="15.6" x14ac:dyDescent="0.3">
      <c r="A243" s="330"/>
      <c r="B243" s="580" t="s">
        <v>92</v>
      </c>
      <c r="C243" s="580"/>
      <c r="D243" s="580"/>
      <c r="E243" s="580"/>
      <c r="F243" s="330"/>
      <c r="G243" s="580" t="s">
        <v>136</v>
      </c>
      <c r="H243" s="580"/>
      <c r="I243" s="580"/>
      <c r="J243" s="580"/>
      <c r="L243" s="330"/>
      <c r="M243" s="580" t="s">
        <v>92</v>
      </c>
      <c r="N243" s="580"/>
      <c r="O243" s="580"/>
      <c r="P243" s="580"/>
      <c r="Q243" s="330"/>
      <c r="R243" s="580" t="s">
        <v>136</v>
      </c>
      <c r="S243" s="580"/>
      <c r="T243" s="580"/>
      <c r="U243" s="580"/>
      <c r="W243" s="330"/>
      <c r="X243" s="580" t="s">
        <v>92</v>
      </c>
      <c r="Y243" s="580"/>
      <c r="Z243" s="580"/>
      <c r="AA243" s="580"/>
      <c r="AB243" s="330"/>
      <c r="AC243" s="580" t="s">
        <v>136</v>
      </c>
      <c r="AD243" s="580"/>
      <c r="AE243" s="580"/>
      <c r="AF243" s="580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</v>
      </c>
      <c r="D246" s="338">
        <f>(D247-D245)/(C247-C245)*(C246-C245)+D245</f>
        <v>0</v>
      </c>
      <c r="E246" s="338">
        <f>(E247-E245)/(C247-C245)*(C246-C245)+E245</f>
        <v>1.6000000000000001E-4</v>
      </c>
      <c r="F246" s="330"/>
      <c r="G246" s="335"/>
      <c r="H246" s="337">
        <f>B32</f>
        <v>0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</v>
      </c>
      <c r="O246" s="338">
        <f>(O247-O245)/(N247-N245)*(N246-N245)+O245</f>
        <v>0</v>
      </c>
      <c r="P246" s="338">
        <f>(P247-P245)/(N247-N245)*(N246-N245)+P245</f>
        <v>0.05</v>
      </c>
      <c r="Q246" s="330"/>
      <c r="R246" s="335"/>
      <c r="S246" s="337">
        <f>H246</f>
        <v>0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6497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6497" r:id="rId3"/>
      </mc:Fallback>
    </mc:AlternateContent>
    <mc:AlternateContent xmlns:mc="http://schemas.openxmlformats.org/markup-compatibility/2006">
      <mc:Choice Requires="x14">
        <oleObject progId="Equation.3" shapeId="106498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6498" r:id="rId5"/>
      </mc:Fallback>
    </mc:AlternateContent>
    <mc:AlternateContent xmlns:mc="http://schemas.openxmlformats.org/markup-compatibility/2006">
      <mc:Choice Requires="x14">
        <oleObject progId="Equation.3" shapeId="106499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6499" r:id="rId7"/>
      </mc:Fallback>
    </mc:AlternateContent>
    <mc:AlternateContent xmlns:mc="http://schemas.openxmlformats.org/markup-compatibility/2006">
      <mc:Choice Requires="x14">
        <oleObject progId="Equation.3" shapeId="106500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6500" r:id="rId9"/>
      </mc:Fallback>
    </mc:AlternateContent>
    <mc:AlternateContent xmlns:mc="http://schemas.openxmlformats.org/markup-compatibility/2006">
      <mc:Choice Requires="x14">
        <oleObject progId="Equation.3" shapeId="106501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6501" r:id="rId11"/>
      </mc:Fallback>
    </mc:AlternateContent>
    <mc:AlternateContent xmlns:mc="http://schemas.openxmlformats.org/markup-compatibility/2006">
      <mc:Choice Requires="x14">
        <oleObject progId="Equation.3" shapeId="106503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6503" r:id="rId13"/>
      </mc:Fallback>
    </mc:AlternateContent>
    <mc:AlternateContent xmlns:mc="http://schemas.openxmlformats.org/markup-compatibility/2006">
      <mc:Choice Requires="x14">
        <oleObject progId="Equation.3" shapeId="106504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6504" r:id="rId14"/>
      </mc:Fallback>
    </mc:AlternateContent>
    <mc:AlternateContent xmlns:mc="http://schemas.openxmlformats.org/markup-compatibility/2006">
      <mc:Choice Requires="x14">
        <oleObject progId="Equation.3" shapeId="106506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6506" r:id="rId16"/>
      </mc:Fallback>
    </mc:AlternateContent>
    <mc:AlternateContent xmlns:mc="http://schemas.openxmlformats.org/markup-compatibility/2006">
      <mc:Choice Requires="x14">
        <oleObject progId="Equation.3" shapeId="106507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6507" r:id="rId17"/>
      </mc:Fallback>
    </mc:AlternateContent>
    <mc:AlternateContent xmlns:mc="http://schemas.openxmlformats.org/markup-compatibility/2006">
      <mc:Choice Requires="x14">
        <oleObject progId="Equation.3" shapeId="106508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6508" r:id="rId19"/>
      </mc:Fallback>
    </mc:AlternateContent>
    <mc:AlternateContent xmlns:mc="http://schemas.openxmlformats.org/markup-compatibility/2006">
      <mc:Choice Requires="x14">
        <oleObject progId="Equation.3" shapeId="106509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6509" r:id="rId21"/>
      </mc:Fallback>
    </mc:AlternateContent>
    <mc:AlternateContent xmlns:mc="http://schemas.openxmlformats.org/markup-compatibility/2006">
      <mc:Choice Requires="x14">
        <oleObject progId="Equation.3" shapeId="106510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6510" r:id="rId22"/>
      </mc:Fallback>
    </mc:AlternateContent>
    <mc:AlternateContent xmlns:mc="http://schemas.openxmlformats.org/markup-compatibility/2006">
      <mc:Choice Requires="x14">
        <oleObject progId="Equation.3" shapeId="106511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6511" r:id="rId24"/>
      </mc:Fallback>
    </mc:AlternateContent>
    <mc:AlternateContent xmlns:mc="http://schemas.openxmlformats.org/markup-compatibility/2006">
      <mc:Choice Requires="x14">
        <oleObject progId="Equation.3" shapeId="106512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2" r:id="rId25"/>
      </mc:Fallback>
    </mc:AlternateContent>
    <mc:AlternateContent xmlns:mc="http://schemas.openxmlformats.org/markup-compatibility/2006">
      <mc:Choice Requires="x14">
        <oleObject progId="Equation.3" shapeId="106513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3" r:id="rId26"/>
      </mc:Fallback>
    </mc:AlternateContent>
    <mc:AlternateContent xmlns:mc="http://schemas.openxmlformats.org/markup-compatibility/2006">
      <mc:Choice Requires="x14">
        <oleObject progId="Equation.3" shapeId="106514" r:id="rId27">
          <objectPr defaultSize="0" autoPict="0" r:id="rId28">
            <anchor moveWithCells="1" sizeWithCells="1">
              <from>
                <xdr:col>0</xdr:col>
                <xdr:colOff>731520</xdr:colOff>
                <xdr:row>10</xdr:row>
                <xdr:rowOff>152400</xdr:rowOff>
              </from>
              <to>
                <xdr:col>2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3" shapeId="106514" r:id="rId27"/>
      </mc:Fallback>
    </mc:AlternateContent>
    <mc:AlternateContent xmlns:mc="http://schemas.openxmlformats.org/markup-compatibility/2006">
      <mc:Choice Requires="x14">
        <oleObject progId="Equation.3" shapeId="106515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5" r:id="rId29"/>
      </mc:Fallback>
    </mc:AlternateContent>
    <mc:AlternateContent xmlns:mc="http://schemas.openxmlformats.org/markup-compatibility/2006">
      <mc:Choice Requires="x14">
        <oleObject progId="Equation.3" shapeId="106516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6516" r:id="rId30"/>
      </mc:Fallback>
    </mc:AlternateContent>
    <mc:AlternateContent xmlns:mc="http://schemas.openxmlformats.org/markup-compatibility/2006">
      <mc:Choice Requires="x14">
        <oleObject progId="Equation.3" shapeId="106517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7" r:id="rId32"/>
      </mc:Fallback>
    </mc:AlternateContent>
    <mc:AlternateContent xmlns:mc="http://schemas.openxmlformats.org/markup-compatibility/2006">
      <mc:Choice Requires="x14">
        <oleObject progId="Equation.3" shapeId="106518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18" r:id="rId33"/>
      </mc:Fallback>
    </mc:AlternateContent>
    <mc:AlternateContent xmlns:mc="http://schemas.openxmlformats.org/markup-compatibility/2006">
      <mc:Choice Requires="x14">
        <oleObject progId="Equation.3" shapeId="106519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19" r:id="rId34"/>
      </mc:Fallback>
    </mc:AlternateContent>
    <mc:AlternateContent xmlns:mc="http://schemas.openxmlformats.org/markup-compatibility/2006">
      <mc:Choice Requires="x14">
        <oleObject progId="Equation.3" shapeId="106520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20" r:id="rId35"/>
      </mc:Fallback>
    </mc:AlternateContent>
    <mc:AlternateContent xmlns:mc="http://schemas.openxmlformats.org/markup-compatibility/2006">
      <mc:Choice Requires="x14">
        <oleObject progId="Equation.3" shapeId="106521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6521" r:id="rId36"/>
      </mc:Fallback>
    </mc:AlternateContent>
    <mc:AlternateContent xmlns:mc="http://schemas.openxmlformats.org/markup-compatibility/2006">
      <mc:Choice Requires="x14">
        <oleObject progId="Equation.3" shapeId="106522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22" r:id="rId3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297F-3E3D-4137-AF61-89C8D297F44B}">
  <dimension ref="A1:BE260"/>
  <sheetViews>
    <sheetView topLeftCell="AM1" zoomScale="85" zoomScaleNormal="85" workbookViewId="0">
      <selection activeCell="BA15" sqref="BA15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94" t="s">
        <v>47</v>
      </c>
      <c r="AJ1" s="594"/>
      <c r="AK1" s="594"/>
      <c r="AL1" s="594"/>
      <c r="AN1" s="594" t="s">
        <v>48</v>
      </c>
      <c r="AO1" s="594"/>
      <c r="AP1" s="594"/>
      <c r="AQ1" s="594"/>
      <c r="AV1" s="585" t="s">
        <v>14</v>
      </c>
      <c r="AW1" s="585"/>
      <c r="AX1" s="585"/>
      <c r="AY1" s="585"/>
      <c r="AZ1" s="585"/>
      <c r="BA1" s="585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602">
        <f>AO14</f>
        <v>4.1721998668247425E-5</v>
      </c>
      <c r="K2" s="603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623" t="s">
        <v>227</v>
      </c>
      <c r="C3" s="623"/>
      <c r="D3" s="310"/>
      <c r="E3" s="309"/>
      <c r="G3" s="619" t="s">
        <v>1</v>
      </c>
      <c r="H3" s="620"/>
      <c r="I3" s="10"/>
      <c r="J3" s="30">
        <f>Datos!N47-M144</f>
        <v>-8.8060836501901149E-2</v>
      </c>
      <c r="K3" s="30">
        <f>Datos!O47-R144</f>
        <v>-8.6539923954372627E-2</v>
      </c>
      <c r="L3" s="67">
        <f>Datos!P47</f>
        <v>0</v>
      </c>
      <c r="M3" s="156">
        <f>AVERAGE(J3:K3)</f>
        <v>-8.7300380228136881E-2</v>
      </c>
      <c r="W3" s="7" t="s">
        <v>31</v>
      </c>
      <c r="AV3" s="568" t="s">
        <v>172</v>
      </c>
      <c r="AW3" s="568"/>
      <c r="AX3" s="568"/>
      <c r="AY3" s="568"/>
      <c r="AZ3" s="568"/>
      <c r="BA3" s="568"/>
      <c r="BB3" s="568"/>
      <c r="BC3" s="568"/>
      <c r="BD3" s="568"/>
      <c r="BE3" s="56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621" t="s">
        <v>12</v>
      </c>
      <c r="H4" s="622"/>
      <c r="I4" s="29"/>
      <c r="J4" s="30">
        <f>Datos!N48-M162</f>
        <v>0.61162790697674441</v>
      </c>
      <c r="K4" s="30">
        <f>Datos!O48-R162</f>
        <v>0.48372093023255824</v>
      </c>
      <c r="L4" s="67">
        <f>Datos!P48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617" t="s">
        <v>23</v>
      </c>
      <c r="H5" s="618"/>
      <c r="I5" s="18"/>
      <c r="J5" s="30">
        <f>Datos!N49-M177</f>
        <v>0</v>
      </c>
      <c r="K5" s="30">
        <f>Datos!O49-R177</f>
        <v>0</v>
      </c>
      <c r="L5" s="67">
        <f>Datos!P49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72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604" t="s">
        <v>44</v>
      </c>
      <c r="AP6" s="604"/>
      <c r="AV6" s="184" t="s">
        <v>164</v>
      </c>
      <c r="AW6" s="573"/>
      <c r="AX6" s="183" t="s">
        <v>167</v>
      </c>
      <c r="AY6" s="162" t="s">
        <v>161</v>
      </c>
      <c r="AZ6" s="163"/>
      <c r="BA6" s="164">
        <f>IF(Datos!N5=Datos!$S$8,MAX(E245:E247)/1000000,IF(Datos!N5=Datos!$S$9,MAX(P245:P247)/1000,IF(Datos!N5=Datos!$S$10,MAX(AF245:AF247))))</f>
        <v>2.0000000000000001E-4</v>
      </c>
      <c r="BB6" s="165" t="s">
        <v>9</v>
      </c>
      <c r="BC6" s="185">
        <v>1</v>
      </c>
      <c r="BD6" s="166">
        <f>BA6*BC6</f>
        <v>2.0000000000000001E-4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73"/>
      <c r="AX7" s="169" t="s">
        <v>136</v>
      </c>
      <c r="AY7" s="169" t="s">
        <v>168</v>
      </c>
      <c r="AZ7" s="169"/>
      <c r="BA7" s="170">
        <f>IF(Datos!N5=Datos!$S$8,(Datos!I12/1000000)*SQRT(12),IF(Datos!N5=Datos!$S$9,(Datos!I12/1000)/SQRT(12),IF(Datos!N5=Datos!$S$10,Datos!I12/SQRT(12))))</f>
        <v>2.8867513459481293E-5</v>
      </c>
      <c r="BB7" s="171" t="str">
        <f>BB6</f>
        <v>kg</v>
      </c>
      <c r="BC7" s="186">
        <v>1</v>
      </c>
      <c r="BD7" s="172">
        <f>BA7*BC7</f>
        <v>2.8867513459481293E-5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73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74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69" t="s">
        <v>162</v>
      </c>
      <c r="AW10" s="570"/>
      <c r="AX10" s="570"/>
      <c r="AY10" s="570"/>
      <c r="AZ10" s="570"/>
      <c r="BA10" s="570"/>
      <c r="BB10" s="570"/>
      <c r="BC10" s="571"/>
      <c r="BD10" s="265">
        <f>SQRT(SUMSQ(BD6:BD7))</f>
        <v>2.0207259421636903E-4</v>
      </c>
      <c r="BE10" s="182">
        <f>BD10^4/((BD6^4/BE6)+(BD7^4/BE7))</f>
        <v>104.16485900216924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606" t="s">
        <v>36</v>
      </c>
      <c r="O11" s="606"/>
      <c r="P11" s="595" t="s">
        <v>36</v>
      </c>
      <c r="Q11" s="595"/>
      <c r="R11" s="596" t="s">
        <v>36</v>
      </c>
      <c r="S11" s="596"/>
      <c r="T11" s="597" t="s">
        <v>36</v>
      </c>
      <c r="U11" s="597"/>
      <c r="V11" s="598" t="s">
        <v>36</v>
      </c>
      <c r="W11" s="598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565"/>
      <c r="J12" s="565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68" t="s">
        <v>173</v>
      </c>
      <c r="AW12" s="568"/>
      <c r="AX12" s="568"/>
      <c r="AY12" s="568"/>
      <c r="AZ12" s="568"/>
      <c r="BA12" s="568"/>
      <c r="BB12" s="568"/>
      <c r="BC12" s="568"/>
      <c r="BD12" s="568"/>
      <c r="BE12" s="56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72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73"/>
      <c r="AX15" s="183" t="s">
        <v>167</v>
      </c>
      <c r="AY15" s="162" t="s">
        <v>161</v>
      </c>
      <c r="AZ15" s="163"/>
      <c r="BA15" s="164">
        <f>IF(Datos!N5=Datos!$S$8,MAX(J245:J247)/1000000,IF(Datos!N5=Datos!$S$9,MAX(U245:U247)/1000,IF(Datos!N5=Datos!$S$10,MAX(AF245:AF247))))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73"/>
      <c r="AX16" s="169" t="s">
        <v>136</v>
      </c>
      <c r="AY16" s="169" t="s">
        <v>168</v>
      </c>
      <c r="AZ16" s="169"/>
      <c r="BA16" s="170">
        <f>BA7</f>
        <v>2.8867513459481293E-5</v>
      </c>
      <c r="BB16" s="171" t="str">
        <f>BB15</f>
        <v>kg</v>
      </c>
      <c r="BC16" s="186">
        <v>1</v>
      </c>
      <c r="BD16" s="172">
        <f>BA16*BC16</f>
        <v>2.8867513459481293E-5</v>
      </c>
      <c r="BE16" s="173">
        <v>100</v>
      </c>
    </row>
    <row r="17" spans="1:57" ht="29.4" thickTop="1" x14ac:dyDescent="0.3">
      <c r="A17" s="612" t="s">
        <v>2</v>
      </c>
      <c r="B17" s="1" t="s">
        <v>16</v>
      </c>
      <c r="C17" s="2"/>
      <c r="D17" s="13" t="s">
        <v>3</v>
      </c>
      <c r="E17" s="3" t="s">
        <v>4</v>
      </c>
      <c r="F17" s="615" t="s">
        <v>5</v>
      </c>
      <c r="G17" s="616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605" t="s">
        <v>46</v>
      </c>
      <c r="AD17" s="605"/>
      <c r="AE17" s="605"/>
      <c r="AF17" s="605"/>
      <c r="AV17" s="255" t="s">
        <v>166</v>
      </c>
      <c r="AW17" s="573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613"/>
      <c r="B18" s="4" t="s">
        <v>6</v>
      </c>
      <c r="C18" s="4" t="s">
        <v>7</v>
      </c>
      <c r="D18" s="14" t="s">
        <v>8</v>
      </c>
      <c r="E18" s="4" t="s">
        <v>8</v>
      </c>
      <c r="F18" s="615"/>
      <c r="G18" s="616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74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614"/>
      <c r="B19" s="5" t="b">
        <f>IF(Datos!N5=1,"kg",IF(Datos!N5=2,"kg",IF(Datos!N5=3,"kg")))</f>
        <v>0</v>
      </c>
      <c r="C19" s="5" t="b">
        <f>B19</f>
        <v>0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69" t="s">
        <v>162</v>
      </c>
      <c r="AW19" s="570"/>
      <c r="AX19" s="570"/>
      <c r="AY19" s="570"/>
      <c r="AZ19" s="570"/>
      <c r="BA19" s="570"/>
      <c r="BB19" s="570"/>
      <c r="BC19" s="571"/>
      <c r="BD19" s="265">
        <f>SQRT(SUMSQ(BD15:BD16))</f>
        <v>2.8867513459481293E-5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IF(Datos!$N$5=Datos!$S$8,(IF(Datos!$N$5=Datos!$S$8,Datos!D48/1000,IF(Datos!$N$5=Datos!$S$9,Datos!D48/1000,IF(Datos!$N$5=Datos!$S$10,Datos!D48," Error "))))-'punto 1'!$Y$144/1000000,IF(Datos!$N$5=Datos!$S$9,(IF(Datos!$N$5=Datos!$S$8,Datos!D48/1000000,IF(Datos!$N$5=Datos!$S$9,Datos!D48/1000,IF(Datos!$N$5=Datos!$S$10,Datos!D48," Error "))))-'punto 1'!$AJ$144/1000,IF(Datos!$N$5=Datos!$S$10,(IF(Datos!$N$5=Datos!$S$8,Datos!D48/1000000,IF(Datos!$N$5=Datos!$S$9,Datos!D48/1000,IF(Datos!$N$5=Datos!$S$10,Datos!D48," Error "))))-'punto 1'!$AU$144)))</f>
        <v>0</v>
      </c>
      <c r="C20" s="157">
        <f>IF(Datos!$N$5=Datos!$S$8,(IF(Datos!$N$5=Datos!$S$8,Datos!E48/1000,IF(Datos!$N$5=Datos!$S$9,Datos!E48/1000,IF(Datos!$N$5=Datos!$S$10,Datos!E48," Error "))))-'punto 1'!$AD$144/1000000,IF(Datos!$N$5=Datos!$S$9,(IF(Datos!$N$5=Datos!$S$8,Datos!E48/1000000,IF(Datos!$N$5=Datos!$S$9,Datos!E48/1000,IF(Datos!$N$5=Datos!S10,Datos!E48," Error "))))-'punto 1'!$AO$144/1000,IF(Datos!$N$5=Datos!$S$9,(IF(Datos!$N$5=Datos!$S$8,Datos!E48/1000000,IF(Datos!$N$5=Datos!S9,Datos!E48/1000,IF(Datos!$N$5=Datos!$S$10,Datos!E48," Error "))))-'punto 1'!$AZ$144)))</f>
        <v>0</v>
      </c>
      <c r="D20" s="109">
        <f>Datos!F48-E144</f>
        <v>3.7058964238727427E-3</v>
      </c>
      <c r="E20" s="59">
        <f>O18*1000</f>
        <v>999.85331435241267</v>
      </c>
      <c r="F20" s="274">
        <f>(((B20-C20))/8000)*((1/(E20-($J$2)))*(8000-$J$2)*(1-Datos!$K$8*(D20-20)))</f>
        <v>0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IF(Datos!$N$5=Datos!$S$8,(IF(Datos!$N$5=Datos!$S$8,Datos!D49/1000,IF(Datos!$N$5=Datos!$S$9,Datos!D49/1000,IF(Datos!$N$5=Datos!$S$10,Datos!D49," Error "))))-'punto 1'!$Y$144/1000000,IF(Datos!$N$5=Datos!$S$9,(IF(Datos!$N$5=Datos!$S$8,Datos!D49/1000000,IF(Datos!$N$5=Datos!$S$9,Datos!D49/1000,IF(Datos!$N$5=Datos!$S$10,Datos!D49," Error "))))-'punto 1'!$AJ$144/1000,IF(Datos!$N$5=Datos!$S$10,(IF(Datos!$N$5=Datos!$S$8,Datos!D49/1000000,IF(Datos!$N$5=Datos!$S$9,Datos!D49/1000,IF(Datos!$N$5=Datos!$S$10,Datos!D49," Error "))))-'punto 1'!$AU$144)))</f>
        <v>0</v>
      </c>
      <c r="C21" s="157">
        <f>IF(Datos!$N$5=Datos!$S$8,(IF(Datos!$N$5=Datos!$S$8,Datos!E49/1000,IF(Datos!$N$5=Datos!$S$9,Datos!E49/1000,IF(Datos!$N$5=Datos!$S$10,Datos!E49," Error "))))-'punto 1'!$AD$144/1000000,IF(Datos!$N$5=Datos!$S$9,(IF(Datos!$N$5=Datos!$S$8,Datos!E49/1000000,IF(Datos!$N$5=Datos!$S$9,Datos!E49/1000,IF(Datos!$N$5=Datos!S11,Datos!E49," Error "))))-'punto 1'!$AO$144/1000,IF(Datos!$N$5=Datos!$S$9,(IF(Datos!$N$5=Datos!$S$8,Datos!E49/1000000,IF(Datos!$N$5=Datos!S10,Datos!E49/1000,IF(Datos!$N$5=Datos!$S$10,Datos!E49," Error "))))-'punto 1'!$AZ$144)))</f>
        <v>0</v>
      </c>
      <c r="D21" s="109">
        <f>Datos!F49-E161</f>
        <v>3.7052984092811867E-3</v>
      </c>
      <c r="E21" s="59">
        <f>Q18*1000</f>
        <v>999.85331431461441</v>
      </c>
      <c r="F21" s="274">
        <f>(((B21-C21))/8000)*((1/(E21-($J$2)))*(8000-$J$2)*(1-Datos!$K$8*(D21-20)))</f>
        <v>0</v>
      </c>
      <c r="G21" s="630" t="s">
        <v>15</v>
      </c>
      <c r="H21" s="628" t="s">
        <v>17</v>
      </c>
      <c r="I21" s="276"/>
      <c r="J21" s="589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68" t="s">
        <v>177</v>
      </c>
      <c r="AW21" s="568"/>
      <c r="AX21" s="568"/>
      <c r="AY21" s="568"/>
      <c r="AZ21" s="568"/>
      <c r="BA21" s="568"/>
      <c r="BB21" s="568"/>
      <c r="BC21" s="568"/>
      <c r="BD21" s="568"/>
      <c r="BE21" s="568"/>
    </row>
    <row r="22" spans="1:57" ht="50.4" x14ac:dyDescent="0.3">
      <c r="A22" s="9">
        <v>3</v>
      </c>
      <c r="B22" s="157">
        <f>IF(Datos!$N$5=Datos!$S$8,(IF(Datos!$N$5=Datos!$S$8,Datos!D50/1000,IF(Datos!$N$5=Datos!$S$9,Datos!D50/1000,IF(Datos!$N$5=Datos!$S$10,Datos!D50," Error "))))-'punto 1'!$Y$144/1000000,IF(Datos!$N$5=Datos!$S$9,(IF(Datos!$N$5=Datos!$S$8,Datos!D50/1000000,IF(Datos!$N$5=Datos!$S$9,Datos!D50/1000,IF(Datos!$N$5=Datos!$S$10,Datos!D50," Error "))))-'punto 1'!$AJ$144/1000,IF(Datos!$N$5=Datos!$S$10,(IF(Datos!$N$5=Datos!$S$8,Datos!D50/1000000,IF(Datos!$N$5=Datos!$S$9,Datos!D50/1000,IF(Datos!$N$5=Datos!$S$10,Datos!D50," Error "))))-'punto 1'!$AU$144)))</f>
        <v>0</v>
      </c>
      <c r="C22" s="157">
        <f>IF(Datos!$N$5=Datos!$S$8,(IF(Datos!$N$5=Datos!$S$8,Datos!E50/1000,IF(Datos!$N$5=Datos!$S$9,Datos!E50/1000,IF(Datos!$N$5=Datos!$S$10,Datos!E50," Error "))))-'punto 1'!$AD$144/1000000,IF(Datos!$N$5=Datos!$S$9,(IF(Datos!$N$5=Datos!$S$8,Datos!E50/1000000,IF(Datos!$N$5=Datos!$S$9,Datos!E50/1000,IF(Datos!$N$5=Datos!S12,Datos!E50," Error "))))-'punto 1'!$AO$144/1000,IF(Datos!$N$5=Datos!$S$9,(IF(Datos!$N$5=Datos!$S$8,Datos!E50/1000000,IF(Datos!$N$5=Datos!S11,Datos!E50/1000,IF(Datos!$N$5=Datos!$S$10,Datos!E50," Error "))))-'punto 1'!$AZ$144)))</f>
        <v>0</v>
      </c>
      <c r="D22" s="109">
        <f>Datos!F50-E178</f>
        <v>3.7052984092811867E-3</v>
      </c>
      <c r="E22" s="59">
        <f>S18*1000</f>
        <v>999.85331431461441</v>
      </c>
      <c r="F22" s="274">
        <f>(((B22-C22))/8000)*((1/(E22-($J$2)))*(8000-$J$2)*(1-Datos!$K$8*(D22-20)))</f>
        <v>0</v>
      </c>
      <c r="G22" s="631"/>
      <c r="H22" s="629"/>
      <c r="I22" s="270"/>
      <c r="J22" s="589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IF(Datos!$N$5=Datos!$S$8,(IF(Datos!$N$5=Datos!$S$8,Datos!D51/1000,IF(Datos!$N$5=Datos!$S$9,Datos!D51/1000,IF(Datos!$N$5=Datos!$S$10,Datos!D51," Error "))))-'punto 1'!$Y$144/1000000,IF(Datos!$N$5=Datos!$S$9,(IF(Datos!$N$5=Datos!$S$8,Datos!D51/1000000,IF(Datos!$N$5=Datos!$S$9,Datos!D51/1000,IF(Datos!$N$5=Datos!$S$10,Datos!D51," Error "))))-'punto 1'!$AJ$144/1000,IF(Datos!$N$5=Datos!$S$10,(IF(Datos!$N$5=Datos!$S$8,Datos!D51/1000000,IF(Datos!$N$5=Datos!$S$9,Datos!D51/1000,IF(Datos!$N$5=Datos!$S$10,Datos!D51," Error "))))-'punto 1'!$AU$144)))</f>
        <v>0</v>
      </c>
      <c r="C23" s="157">
        <f>IF(Datos!$N$5=Datos!$S$8,(IF(Datos!$N$5=Datos!$S$8,Datos!E51/1000,IF(Datos!$N$5=Datos!$S$9,Datos!E51/1000,IF(Datos!$N$5=Datos!$S$10,Datos!E51," Error "))))-'punto 1'!$AD$144/1000000,IF(Datos!$N$5=Datos!$S$9,(IF(Datos!$N$5=Datos!$S$8,Datos!E51/1000000,IF(Datos!$N$5=Datos!$S$9,Datos!E51/1000,IF(Datos!$N$5=Datos!S13,Datos!E51," Error "))))-'punto 1'!$AO$144/1000,IF(Datos!$N$5=Datos!$S$9,(IF(Datos!$N$5=Datos!$S$8,Datos!E51/1000000,IF(Datos!$N$5=Datos!S12,Datos!E51/1000,IF(Datos!$N$5=Datos!$S$10,Datos!E51," Error "))))-'punto 1'!$AZ$144)))</f>
        <v>0</v>
      </c>
      <c r="D23" s="109">
        <f>Datos!F51-E195</f>
        <v>3.7056572180361202E-3</v>
      </c>
      <c r="E23" s="79">
        <f>U18*1000</f>
        <v>999.85331433729334</v>
      </c>
      <c r="F23" s="274">
        <f>(((B23-C23))/8000)*((1/(E23-($J$2)))*(8000-$J$2)*(1-Datos!$K$8*(D23-20)))</f>
        <v>0</v>
      </c>
      <c r="G23" s="626" t="s">
        <v>13</v>
      </c>
      <c r="H23" s="627"/>
      <c r="I23" s="273"/>
      <c r="J23" s="278"/>
      <c r="AE23" s="25" t="s">
        <v>18</v>
      </c>
      <c r="AF23" s="25">
        <f>AVERAGE(AF18:AF22)</f>
        <v>999.83551560855381</v>
      </c>
      <c r="AV23" s="134"/>
      <c r="AW23" s="572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IF(Datos!$N$5=Datos!$S$8,(IF(Datos!$N$5=Datos!$S$8,Datos!D52/1000,IF(Datos!$N$5=Datos!$S$9,Datos!D52/1000,IF(Datos!$N$5=Datos!$S$10,Datos!D52," Error "))))-'punto 1'!$Y$144/1000000,IF(Datos!$N$5=Datos!$S$9,(IF(Datos!$N$5=Datos!$S$8,Datos!D52/1000000,IF(Datos!$N$5=Datos!$S$9,Datos!D52/1000,IF(Datos!$N$5=Datos!$S$10,Datos!D52," Error "))))-'punto 1'!$AJ$144/1000,IF(Datos!$N$5=Datos!$S$10,(IF(Datos!$N$5=Datos!$S$8,Datos!D52/1000000,IF(Datos!$N$5=Datos!$S$9,Datos!D52/1000,IF(Datos!$N$5=Datos!$S$10,Datos!D52," Error "))))-'punto 1'!$AU$144)))</f>
        <v>0</v>
      </c>
      <c r="C24" s="157">
        <f>IF(Datos!$N$5=Datos!$S$8,(IF(Datos!$N$5=Datos!$S$8,Datos!E52/1000,IF(Datos!$N$5=Datos!$S$9,Datos!E52/1000,IF(Datos!$N$5=Datos!$S$10,Datos!E52," Error "))))-'punto 1'!$AD$144/1000000,IF(Datos!$N$5=Datos!$S$9,(IF(Datos!$N$5=Datos!$S$8,Datos!E52/1000000,IF(Datos!$N$5=Datos!$S$9,Datos!E52/1000,IF(Datos!$N$5=Datos!S14,Datos!E52," Error "))))-'punto 1'!$AO$144/1000,IF(Datos!$N$5=Datos!$S$9,(IF(Datos!$N$5=Datos!$S$8,Datos!E52/1000000,IF(Datos!$N$5=Datos!S13,Datos!E52/1000,IF(Datos!$N$5=Datos!$S$10,Datos!E52," Error "))))-'punto 1'!$AZ$144)))</f>
        <v>0</v>
      </c>
      <c r="D24" s="109">
        <f>Datos!F52-E212</f>
        <v>3.7057369533149941E-3</v>
      </c>
      <c r="E24" s="79">
        <f>W18*1000</f>
        <v>999.85331434233319</v>
      </c>
      <c r="F24" s="274">
        <f>(((B24-C24))/8000)*((1/(E24-($J$2)))*(8000-$J$2)*(1-Datos!$K$8*(D24-20)))</f>
        <v>0</v>
      </c>
      <c r="G24" s="275">
        <f>IF(Datos!U4=Datos!$U$5,AVERAGE(F20:F24)*1000000,IF(Datos!U4=Datos!$U$6,AVERAGE(F20:F24)*1000000))</f>
        <v>0</v>
      </c>
      <c r="H24" s="266">
        <f>G24-Datos!E44</f>
        <v>-2000</v>
      </c>
      <c r="I24" s="277"/>
      <c r="J24" s="279"/>
      <c r="AV24" s="184" t="s">
        <v>164</v>
      </c>
      <c r="AW24" s="573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73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73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74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69" t="s">
        <v>162</v>
      </c>
      <c r="AW28" s="570"/>
      <c r="AX28" s="570"/>
      <c r="AY28" s="570"/>
      <c r="AZ28" s="570"/>
      <c r="BA28" s="570"/>
      <c r="BB28" s="570"/>
      <c r="BC28" s="571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2.0207259421636903E-4</v>
      </c>
      <c r="M29" s="190" t="s">
        <v>9</v>
      </c>
      <c r="N29" s="218">
        <f>(((1))/8000)*((1/(E20-($J$2)))*(8000-$J$2)*(1-Datos!$K$8*(B35-20)))</f>
        <v>1.0121462809371273E-3</v>
      </c>
      <c r="O29" s="229" t="s">
        <v>212</v>
      </c>
      <c r="P29" s="223">
        <f t="shared" ref="P29:P36" si="0">(L29*N29)</f>
        <v>2.0452702471541517E-7</v>
      </c>
      <c r="Q29" s="191">
        <f>BE10</f>
        <v>104.16485900216924</v>
      </c>
      <c r="R29" s="138">
        <f>(P29/$P$38)^2</f>
        <v>0.19986161764867705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2.8867513459481293E-5</v>
      </c>
      <c r="M30" s="196" t="s">
        <v>9</v>
      </c>
      <c r="N30" s="219">
        <f>(((-1))/8000)*((1/(E20-($J$2)))*(8000-$J$2)*(1-Datos!$K$8*(B35-20)))</f>
        <v>-1.0121462809371273E-3</v>
      </c>
      <c r="O30" s="196" t="s">
        <v>212</v>
      </c>
      <c r="P30" s="224">
        <f t="shared" si="0"/>
        <v>-2.9218146387916457E-8</v>
      </c>
      <c r="Q30" s="150">
        <f>BE19</f>
        <v>100</v>
      </c>
      <c r="R30" s="296">
        <f t="shared" ref="R30:R36" si="1">(P30/$P$38)^2</f>
        <v>4.078808523442389E-3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0</v>
      </c>
      <c r="O31" s="229" t="s">
        <v>190</v>
      </c>
      <c r="P31" s="223">
        <f t="shared" si="0"/>
        <v>0</v>
      </c>
      <c r="Q31" s="230">
        <f>BE28</f>
        <v>100.0015040689135</v>
      </c>
      <c r="R31" s="138">
        <f t="shared" si="1"/>
        <v>0</v>
      </c>
      <c r="AV31" s="134"/>
      <c r="AW31" s="572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0</v>
      </c>
      <c r="O32" s="77" t="s">
        <v>190</v>
      </c>
      <c r="P32" s="225">
        <f t="shared" si="0"/>
        <v>0</v>
      </c>
      <c r="Q32" s="142">
        <v>100</v>
      </c>
      <c r="R32" s="296">
        <f t="shared" si="1"/>
        <v>0</v>
      </c>
      <c r="AV32" s="184" t="s">
        <v>164</v>
      </c>
      <c r="AW32" s="573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0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0</v>
      </c>
      <c r="O33" s="190" t="s">
        <v>211</v>
      </c>
      <c r="P33" s="261">
        <f t="shared" si="0"/>
        <v>0</v>
      </c>
      <c r="Q33" s="149">
        <v>100</v>
      </c>
      <c r="R33" s="138">
        <f t="shared" si="1"/>
        <v>0</v>
      </c>
      <c r="AV33" s="168" t="s">
        <v>165</v>
      </c>
      <c r="AW33" s="573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0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1.7320508075688774E-5</v>
      </c>
      <c r="M34" s="196" t="s">
        <v>197</v>
      </c>
      <c r="N34" s="232">
        <f>--((B31-B32)*(8000-J2)*(B35-20))/(8000*(X19-J2))</f>
        <v>0</v>
      </c>
      <c r="O34" s="159" t="s">
        <v>208</v>
      </c>
      <c r="P34" s="224">
        <f t="shared" si="0"/>
        <v>0</v>
      </c>
      <c r="Q34" s="160">
        <v>100</v>
      </c>
      <c r="R34" s="296">
        <f t="shared" si="1"/>
        <v>0</v>
      </c>
      <c r="AV34" s="581" t="s">
        <v>166</v>
      </c>
      <c r="AW34" s="573"/>
      <c r="AX34" s="174" t="s">
        <v>135</v>
      </c>
      <c r="AY34" s="174" t="s">
        <v>169</v>
      </c>
      <c r="AZ34" s="174"/>
      <c r="BA34" s="566">
        <f>(MAX(J3:K3)-MIN(J3:K3))/SQRT(24)</f>
        <v>3.1045497373677892E-4</v>
      </c>
      <c r="BB34" s="577" t="str">
        <f>BB33</f>
        <v>0C</v>
      </c>
      <c r="BC34" s="575">
        <v>1</v>
      </c>
      <c r="BD34" s="566">
        <f>BA34*BC34</f>
        <v>3.1045497373677892E-4</v>
      </c>
      <c r="BE34" s="586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0</v>
      </c>
      <c r="O35" s="229" t="s">
        <v>209</v>
      </c>
      <c r="P35" s="223">
        <f t="shared" si="0"/>
        <v>0</v>
      </c>
      <c r="Q35" s="148">
        <v>100</v>
      </c>
      <c r="R35" s="138">
        <f t="shared" si="1"/>
        <v>0</v>
      </c>
      <c r="AV35" s="582"/>
      <c r="AW35" s="574"/>
      <c r="AX35" s="178"/>
      <c r="AY35" s="178"/>
      <c r="AZ35" s="178"/>
      <c r="BA35" s="567"/>
      <c r="BB35" s="578"/>
      <c r="BC35" s="576"/>
      <c r="BD35" s="567"/>
      <c r="BE35" s="587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(IF(Datos!$P$5=B5,VLOOKUP(Datos!P5,B5:C8,2,FALSE)/1000000,IF(Datos!$P$5=B6,VLOOKUP(Datos!P5,B5:C8,2,FALSE)/1000000,IF(Datos!$P$5=B7,VLOOKUP(Datos!P5,B5:C8,2,FALSE)/1000000,IF(Datos!$P$5=B8,VLOOKUP(Datos!P5,B5:C8,2,FALSE)/1000000," Error ")))))/SQRT(3)</f>
        <v>4.0818664031706544E-7</v>
      </c>
      <c r="M36" s="196" t="s">
        <v>200</v>
      </c>
      <c r="N36" s="222">
        <v>1</v>
      </c>
      <c r="O36" s="46">
        <v>1</v>
      </c>
      <c r="P36" s="226">
        <f t="shared" si="0"/>
        <v>4.0818664031706544E-7</v>
      </c>
      <c r="Q36" s="142">
        <v>100</v>
      </c>
      <c r="R36" s="296">
        <f t="shared" si="1"/>
        <v>0.7960595738278804</v>
      </c>
      <c r="AV36" s="569" t="s">
        <v>162</v>
      </c>
      <c r="AW36" s="570"/>
      <c r="AX36" s="570"/>
      <c r="AY36" s="570"/>
      <c r="AZ36" s="570"/>
      <c r="BA36" s="570"/>
      <c r="BB36" s="570"/>
      <c r="BC36" s="571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0</v>
      </c>
      <c r="M37" s="190" t="s">
        <v>200</v>
      </c>
      <c r="N37" s="294">
        <v>1</v>
      </c>
      <c r="O37" s="293">
        <v>1</v>
      </c>
      <c r="P37" s="261">
        <f>L37*N37</f>
        <v>0</v>
      </c>
      <c r="Q37" s="295">
        <f>COUNT(F20:F24)-1</f>
        <v>4</v>
      </c>
      <c r="R37" s="297">
        <f>P37^2/$P$38^2</f>
        <v>0</v>
      </c>
    </row>
    <row r="38" spans="1:57" ht="50.4" x14ac:dyDescent="0.3">
      <c r="A38" s="22"/>
      <c r="B38" s="258"/>
      <c r="C38" s="258"/>
      <c r="F38" s="22"/>
      <c r="G38" s="590" t="s">
        <v>213</v>
      </c>
      <c r="H38" s="591"/>
      <c r="I38" s="591"/>
      <c r="J38" s="591"/>
      <c r="K38" s="591"/>
      <c r="L38" s="591"/>
      <c r="M38" s="591"/>
      <c r="N38" s="592"/>
      <c r="O38" s="60"/>
      <c r="P38" s="263">
        <f>SQRT(SUMSQ(P29:P37))</f>
        <v>4.5749463084348776E-7</v>
      </c>
      <c r="Q38" s="60"/>
      <c r="R38" s="298">
        <f>SUM(R29:R37)</f>
        <v>0.99999999999999978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607" t="s">
        <v>127</v>
      </c>
      <c r="H39" s="608"/>
      <c r="I39" s="608"/>
      <c r="J39" s="608"/>
      <c r="K39" s="608"/>
      <c r="L39" s="608"/>
      <c r="M39" s="608"/>
      <c r="N39" s="608"/>
      <c r="O39" s="151"/>
      <c r="P39" s="152">
        <f>P38^4/((P29^4/Q29)+(P30^4/Q30)+(P31^4/Q31)+(P32^4/Q32)+(P33^4/Q33)+(P34^4/Q34)+(P35^4/Q35)+(P36^4/Q36))</f>
        <v>148.79291152601621</v>
      </c>
      <c r="Q39" s="152"/>
      <c r="R39" s="153"/>
      <c r="AV39" s="134"/>
      <c r="AW39" s="572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609" t="s">
        <v>128</v>
      </c>
      <c r="H40" s="610"/>
      <c r="I40" s="610"/>
      <c r="J40" s="610"/>
      <c r="K40" s="610"/>
      <c r="L40" s="610"/>
      <c r="M40" s="610"/>
      <c r="N40" s="610"/>
      <c r="O40" s="60"/>
      <c r="P40" s="227">
        <f>IF(P39&gt;20,2,HLOOKUP(P39,A44:V45,2))</f>
        <v>2</v>
      </c>
      <c r="Q40" s="154"/>
      <c r="R40" s="154"/>
      <c r="AV40" s="184" t="s">
        <v>164</v>
      </c>
      <c r="AW40" s="573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73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1" t="s">
        <v>166</v>
      </c>
      <c r="AW42" s="573"/>
      <c r="AX42" s="174" t="s">
        <v>135</v>
      </c>
      <c r="AY42" s="174" t="s">
        <v>169</v>
      </c>
      <c r="AZ42" s="174"/>
      <c r="BA42" s="566">
        <f>((MAX(J4:K4)-MIN(J4:K4))/100)/SQRT(24)</f>
        <v>2.6108902297107545E-4</v>
      </c>
      <c r="BB42" s="577" t="str">
        <f>BB41</f>
        <v>%</v>
      </c>
      <c r="BC42" s="575">
        <v>1</v>
      </c>
      <c r="BD42" s="566">
        <f>BA42*BC42</f>
        <v>2.6108902297107545E-4</v>
      </c>
      <c r="BE42" s="586">
        <v>1</v>
      </c>
    </row>
    <row r="43" spans="1:57" ht="13.8" thickBot="1" x14ac:dyDescent="0.3">
      <c r="A43" s="599" t="s">
        <v>40</v>
      </c>
      <c r="B43" s="600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1"/>
      <c r="AV43" s="582"/>
      <c r="AW43" s="574"/>
      <c r="AX43" s="178"/>
      <c r="AY43" s="178"/>
      <c r="AZ43" s="178"/>
      <c r="BA43" s="567"/>
      <c r="BB43" s="578"/>
      <c r="BC43" s="576"/>
      <c r="BD43" s="567"/>
      <c r="BE43" s="587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69" t="s">
        <v>162</v>
      </c>
      <c r="AW44" s="570"/>
      <c r="AX44" s="570"/>
      <c r="AY44" s="570"/>
      <c r="AZ44" s="570"/>
      <c r="BA44" s="570"/>
      <c r="BB44" s="570"/>
      <c r="BC44" s="571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72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73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73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73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74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69" t="s">
        <v>162</v>
      </c>
      <c r="AW52" s="570"/>
      <c r="AX52" s="570"/>
      <c r="AY52" s="570"/>
      <c r="AZ52" s="570"/>
      <c r="BA52" s="570"/>
      <c r="BB52" s="570"/>
      <c r="BC52" s="571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68" t="s">
        <v>203</v>
      </c>
      <c r="AW55" s="568"/>
      <c r="AX55" s="568"/>
      <c r="AY55" s="568"/>
      <c r="AZ55" s="568"/>
      <c r="BA55" s="568"/>
      <c r="BB55" s="568"/>
      <c r="BC55" s="568"/>
      <c r="BD55" s="568"/>
      <c r="BE55" s="56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72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73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73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73"/>
      <c r="AX61" s="174" t="s">
        <v>135</v>
      </c>
      <c r="AY61" s="174" t="s">
        <v>169</v>
      </c>
      <c r="AZ61" s="174"/>
      <c r="BA61" s="566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74"/>
      <c r="AX62" s="178"/>
      <c r="AY62" s="178"/>
      <c r="AZ62" s="178"/>
      <c r="BA62" s="567"/>
      <c r="BB62" s="254"/>
      <c r="BC62" s="252"/>
      <c r="BD62" s="248"/>
      <c r="BE62" s="250"/>
    </row>
    <row r="63" spans="1:57" x14ac:dyDescent="0.25">
      <c r="AV63" s="569" t="s">
        <v>162</v>
      </c>
      <c r="AW63" s="570"/>
      <c r="AX63" s="570"/>
      <c r="AY63" s="570"/>
      <c r="AZ63" s="570"/>
      <c r="BA63" s="570"/>
      <c r="BB63" s="570"/>
      <c r="BC63" s="571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3"/>
      <c r="C79" s="593"/>
      <c r="D79" s="593"/>
      <c r="E79" s="593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8"/>
      <c r="C95" s="588"/>
      <c r="D95" s="588"/>
      <c r="E95" s="588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565"/>
      <c r="C97" s="565"/>
      <c r="D97" s="565"/>
      <c r="E97" s="565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565"/>
      <c r="C103" s="565"/>
      <c r="D103" s="565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583" t="s">
        <v>105</v>
      </c>
      <c r="D139" s="583"/>
      <c r="E139" s="583"/>
      <c r="F139" s="583"/>
      <c r="J139" s="330"/>
      <c r="K139" s="611" t="s">
        <v>0</v>
      </c>
      <c r="L139" s="611"/>
      <c r="M139" s="611"/>
      <c r="N139" s="611"/>
      <c r="O139" s="611"/>
      <c r="P139" s="611"/>
      <c r="Q139" s="611"/>
      <c r="R139" s="611"/>
      <c r="S139" s="611"/>
      <c r="W139" s="579" t="s">
        <v>135</v>
      </c>
      <c r="X139" s="579"/>
      <c r="Y139" s="579"/>
      <c r="Z139" s="579"/>
      <c r="AA139" s="579"/>
      <c r="AB139" s="579"/>
      <c r="AC139" s="579"/>
      <c r="AD139" s="579"/>
      <c r="AE139" s="579"/>
      <c r="AH139" s="579" t="s">
        <v>135</v>
      </c>
      <c r="AI139" s="579"/>
      <c r="AJ139" s="579"/>
      <c r="AK139" s="579"/>
      <c r="AL139" s="579"/>
      <c r="AM139" s="579"/>
      <c r="AN139" s="579"/>
      <c r="AO139" s="579"/>
      <c r="AP139" s="579"/>
      <c r="AS139" s="579" t="s">
        <v>135</v>
      </c>
      <c r="AT139" s="579"/>
      <c r="AU139" s="579"/>
      <c r="AV139" s="579"/>
      <c r="AW139" s="579"/>
      <c r="AX139" s="579"/>
      <c r="AY139" s="579"/>
      <c r="AZ139" s="579"/>
      <c r="BA139" s="579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79"/>
      <c r="X140" s="579"/>
      <c r="Y140" s="579"/>
      <c r="Z140" s="579"/>
      <c r="AA140" s="579"/>
      <c r="AB140" s="579"/>
      <c r="AC140" s="579"/>
      <c r="AD140" s="579"/>
      <c r="AE140" s="579"/>
      <c r="AH140" s="579"/>
      <c r="AI140" s="579"/>
      <c r="AJ140" s="579"/>
      <c r="AK140" s="579"/>
      <c r="AL140" s="579"/>
      <c r="AM140" s="579"/>
      <c r="AN140" s="579"/>
      <c r="AO140" s="579"/>
      <c r="AP140" s="579"/>
      <c r="AS140" s="579"/>
      <c r="AT140" s="579"/>
      <c r="AU140" s="579"/>
      <c r="AV140" s="579"/>
      <c r="AW140" s="579"/>
      <c r="AX140" s="579"/>
      <c r="AY140" s="579"/>
      <c r="AZ140" s="579"/>
      <c r="BA140" s="579"/>
    </row>
    <row r="141" spans="2:53" ht="15.6" x14ac:dyDescent="0.3">
      <c r="B141" s="330"/>
      <c r="C141" s="580" t="s">
        <v>103</v>
      </c>
      <c r="D141" s="580"/>
      <c r="E141" s="580"/>
      <c r="F141" s="580"/>
      <c r="J141" s="330"/>
      <c r="K141" s="580" t="s">
        <v>103</v>
      </c>
      <c r="L141" s="580"/>
      <c r="M141" s="580"/>
      <c r="N141" s="580"/>
      <c r="O141" s="330"/>
      <c r="P141" s="580" t="s">
        <v>103</v>
      </c>
      <c r="Q141" s="580"/>
      <c r="R141" s="580"/>
      <c r="S141" s="580"/>
      <c r="V141" s="330"/>
      <c r="W141" s="580" t="s">
        <v>92</v>
      </c>
      <c r="X141" s="580"/>
      <c r="Y141" s="580"/>
      <c r="Z141" s="580"/>
      <c r="AA141" s="330"/>
      <c r="AB141" s="580" t="s">
        <v>136</v>
      </c>
      <c r="AC141" s="580"/>
      <c r="AD141" s="580"/>
      <c r="AE141" s="580"/>
      <c r="AG141" s="330"/>
      <c r="AH141" s="580" t="s">
        <v>92</v>
      </c>
      <c r="AI141" s="580"/>
      <c r="AJ141" s="580"/>
      <c r="AK141" s="580"/>
      <c r="AL141" s="330"/>
      <c r="AM141" s="580" t="s">
        <v>136</v>
      </c>
      <c r="AN141" s="580"/>
      <c r="AO141" s="580"/>
      <c r="AP141" s="580"/>
      <c r="AR141" s="330"/>
      <c r="AS141" s="580" t="s">
        <v>92</v>
      </c>
      <c r="AT141" s="580"/>
      <c r="AU141" s="580"/>
      <c r="AV141" s="580"/>
      <c r="AW141" s="330"/>
      <c r="AX141" s="580" t="s">
        <v>136</v>
      </c>
      <c r="AY141" s="580"/>
      <c r="AZ141" s="580"/>
      <c r="BA141" s="580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[1]Datos!F26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[1]Datos!N25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[1]Datos!O25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[1]Datos!D26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[1]Datos!E26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80" t="s">
        <v>103</v>
      </c>
      <c r="D147" s="580"/>
      <c r="E147" s="580"/>
      <c r="F147" s="339"/>
      <c r="J147" s="330"/>
      <c r="K147" s="580" t="s">
        <v>27</v>
      </c>
      <c r="L147" s="580"/>
      <c r="M147" s="580"/>
      <c r="N147" s="339"/>
      <c r="O147" s="584" t="s">
        <v>27</v>
      </c>
      <c r="P147" s="584"/>
      <c r="Q147" s="584"/>
      <c r="R147" s="584"/>
      <c r="S147" s="58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80" t="s">
        <v>103</v>
      </c>
      <c r="D158" s="580"/>
      <c r="E158" s="580"/>
      <c r="F158" s="58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84" t="s">
        <v>28</v>
      </c>
      <c r="L159" s="584"/>
      <c r="M159" s="584"/>
      <c r="N159" s="584"/>
      <c r="O159" s="330"/>
      <c r="P159" s="584" t="s">
        <v>28</v>
      </c>
      <c r="Q159" s="584"/>
      <c r="R159" s="584"/>
      <c r="S159" s="58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[1]Datos!F27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80" t="s">
        <v>92</v>
      </c>
      <c r="X161" s="580"/>
      <c r="Y161" s="580"/>
      <c r="Z161" s="580"/>
      <c r="AA161" s="330"/>
      <c r="AB161" s="580" t="s">
        <v>136</v>
      </c>
      <c r="AC161" s="580"/>
      <c r="AD161" s="580"/>
      <c r="AE161" s="580"/>
      <c r="AG161" s="330"/>
      <c r="AH161" s="580" t="s">
        <v>92</v>
      </c>
      <c r="AI161" s="580"/>
      <c r="AJ161" s="580"/>
      <c r="AK161" s="580"/>
      <c r="AL161" s="330"/>
      <c r="AM161" s="580" t="s">
        <v>136</v>
      </c>
      <c r="AN161" s="580"/>
      <c r="AO161" s="580"/>
      <c r="AP161" s="580"/>
      <c r="AR161" s="330"/>
      <c r="AS161" s="580" t="s">
        <v>92</v>
      </c>
      <c r="AT161" s="580"/>
      <c r="AU161" s="580"/>
      <c r="AV161" s="580"/>
      <c r="AW161" s="330"/>
      <c r="AX161" s="580" t="s">
        <v>136</v>
      </c>
      <c r="AY161" s="580"/>
      <c r="AZ161" s="580"/>
      <c r="BA161" s="580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[1]Datos!N26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[1]Datos!O26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80" t="s">
        <v>103</v>
      </c>
      <c r="D164" s="580"/>
      <c r="E164" s="580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[1]Datos!D27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[1]Datos!E27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84" t="s">
        <v>130</v>
      </c>
      <c r="L165" s="584"/>
      <c r="M165" s="584"/>
      <c r="N165" s="584"/>
      <c r="O165" s="330"/>
      <c r="P165" s="584" t="s">
        <v>130</v>
      </c>
      <c r="Q165" s="584"/>
      <c r="R165" s="584"/>
      <c r="S165" s="58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80" t="s">
        <v>131</v>
      </c>
      <c r="L174" s="580"/>
      <c r="M174" s="580"/>
      <c r="N174" s="580"/>
      <c r="O174" s="330"/>
      <c r="P174" s="580" t="s">
        <v>131</v>
      </c>
      <c r="Q174" s="580"/>
      <c r="R174" s="580"/>
      <c r="S174" s="580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80" t="s">
        <v>103</v>
      </c>
      <c r="D175" s="580"/>
      <c r="E175" s="580"/>
      <c r="F175" s="580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[1]Datos!N27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[1]Datos!O27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[1]Datos!F28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80" t="s">
        <v>103</v>
      </c>
      <c r="D181" s="580"/>
      <c r="E181" s="580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80" t="s">
        <v>92</v>
      </c>
      <c r="X181" s="580"/>
      <c r="Y181" s="580"/>
      <c r="Z181" s="580"/>
      <c r="AA181" s="330"/>
      <c r="AB181" s="580" t="s">
        <v>136</v>
      </c>
      <c r="AC181" s="580"/>
      <c r="AD181" s="580"/>
      <c r="AE181" s="580"/>
      <c r="AG181" s="330"/>
      <c r="AH181" s="580" t="s">
        <v>92</v>
      </c>
      <c r="AI181" s="580"/>
      <c r="AJ181" s="580"/>
      <c r="AK181" s="580"/>
      <c r="AL181" s="330"/>
      <c r="AM181" s="580" t="s">
        <v>136</v>
      </c>
      <c r="AN181" s="580"/>
      <c r="AO181" s="580"/>
      <c r="AP181" s="580"/>
      <c r="AR181" s="330"/>
      <c r="AS181" s="580" t="s">
        <v>92</v>
      </c>
      <c r="AT181" s="580"/>
      <c r="AU181" s="580"/>
      <c r="AV181" s="580"/>
      <c r="AW181" s="330"/>
      <c r="AX181" s="580" t="s">
        <v>136</v>
      </c>
      <c r="AY181" s="580"/>
      <c r="AZ181" s="580"/>
      <c r="BA181" s="580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[1]Datos!D28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[1]Datos!E28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80" t="s">
        <v>103</v>
      </c>
      <c r="D192" s="580"/>
      <c r="E192" s="580"/>
      <c r="F192" s="580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[1]Datos!F29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80" t="s">
        <v>103</v>
      </c>
      <c r="D198" s="580"/>
      <c r="E198" s="580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80" t="s">
        <v>92</v>
      </c>
      <c r="X201" s="580"/>
      <c r="Y201" s="580"/>
      <c r="Z201" s="580"/>
      <c r="AA201" s="330"/>
      <c r="AB201" s="580" t="s">
        <v>136</v>
      </c>
      <c r="AC201" s="580"/>
      <c r="AD201" s="580"/>
      <c r="AE201" s="580"/>
      <c r="AG201" s="330"/>
      <c r="AH201" s="580" t="s">
        <v>92</v>
      </c>
      <c r="AI201" s="580"/>
      <c r="AJ201" s="580"/>
      <c r="AK201" s="580"/>
      <c r="AL201" s="330"/>
      <c r="AM201" s="580" t="s">
        <v>136</v>
      </c>
      <c r="AN201" s="580"/>
      <c r="AO201" s="580"/>
      <c r="AP201" s="580"/>
      <c r="AR201" s="330"/>
      <c r="AS201" s="580" t="s">
        <v>92</v>
      </c>
      <c r="AT201" s="580"/>
      <c r="AU201" s="580"/>
      <c r="AV201" s="580"/>
      <c r="AW201" s="330"/>
      <c r="AX201" s="580" t="s">
        <v>136</v>
      </c>
      <c r="AY201" s="580"/>
      <c r="AZ201" s="580"/>
      <c r="BA201" s="580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[1]Datos!D29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[1]Datos!E29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80" t="s">
        <v>103</v>
      </c>
      <c r="D209" s="580"/>
      <c r="E209" s="580"/>
      <c r="F209" s="580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[1]Datos!F30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80" t="s">
        <v>27</v>
      </c>
      <c r="D215" s="580"/>
      <c r="E215" s="580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80" t="s">
        <v>92</v>
      </c>
      <c r="X221" s="580"/>
      <c r="Y221" s="580"/>
      <c r="Z221" s="580"/>
      <c r="AA221" s="330"/>
      <c r="AB221" s="580" t="s">
        <v>136</v>
      </c>
      <c r="AC221" s="580"/>
      <c r="AD221" s="580"/>
      <c r="AE221" s="580"/>
      <c r="AG221" s="330"/>
      <c r="AH221" s="580" t="s">
        <v>92</v>
      </c>
      <c r="AI221" s="580"/>
      <c r="AJ221" s="580"/>
      <c r="AK221" s="580"/>
      <c r="AL221" s="330"/>
      <c r="AM221" s="580" t="s">
        <v>136</v>
      </c>
      <c r="AN221" s="580"/>
      <c r="AO221" s="580"/>
      <c r="AP221" s="580"/>
      <c r="AR221" s="330"/>
      <c r="AS221" s="580" t="s">
        <v>92</v>
      </c>
      <c r="AT221" s="580"/>
      <c r="AU221" s="580"/>
      <c r="AV221" s="580"/>
      <c r="AW221" s="330"/>
      <c r="AX221" s="580" t="s">
        <v>136</v>
      </c>
      <c r="AY221" s="580"/>
      <c r="AZ221" s="580"/>
      <c r="BA221" s="580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[1]Datos!D30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[1]Datos!E30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79" t="s">
        <v>135</v>
      </c>
      <c r="C241" s="579"/>
      <c r="D241" s="579"/>
      <c r="E241" s="579"/>
      <c r="F241" s="579"/>
      <c r="G241" s="579"/>
      <c r="H241" s="579"/>
      <c r="I241" s="579"/>
      <c r="J241" s="579"/>
      <c r="M241" s="579" t="s">
        <v>135</v>
      </c>
      <c r="N241" s="579"/>
      <c r="O241" s="579"/>
      <c r="P241" s="579"/>
      <c r="Q241" s="579"/>
      <c r="R241" s="579"/>
      <c r="S241" s="579"/>
      <c r="T241" s="579"/>
      <c r="U241" s="579"/>
      <c r="X241" s="579" t="s">
        <v>135</v>
      </c>
      <c r="Y241" s="579"/>
      <c r="Z241" s="579"/>
      <c r="AA241" s="579"/>
      <c r="AB241" s="579"/>
      <c r="AC241" s="579"/>
      <c r="AD241" s="579"/>
      <c r="AE241" s="579"/>
      <c r="AF241" s="579"/>
    </row>
    <row r="242" spans="1:32" ht="13.2" customHeight="1" x14ac:dyDescent="0.25">
      <c r="B242" s="579"/>
      <c r="C242" s="579"/>
      <c r="D242" s="579"/>
      <c r="E242" s="579"/>
      <c r="F242" s="579"/>
      <c r="G242" s="579"/>
      <c r="H242" s="579"/>
      <c r="I242" s="579"/>
      <c r="J242" s="579"/>
      <c r="M242" s="579"/>
      <c r="N242" s="579"/>
      <c r="O242" s="579"/>
      <c r="P242" s="579"/>
      <c r="Q242" s="579"/>
      <c r="R242" s="579"/>
      <c r="S242" s="579"/>
      <c r="T242" s="579"/>
      <c r="U242" s="579"/>
      <c r="X242" s="579"/>
      <c r="Y242" s="579"/>
      <c r="Z242" s="579"/>
      <c r="AA242" s="579"/>
      <c r="AB242" s="579"/>
      <c r="AC242" s="579"/>
      <c r="AD242" s="579"/>
      <c r="AE242" s="579"/>
      <c r="AF242" s="579"/>
    </row>
    <row r="243" spans="1:32" ht="15.6" x14ac:dyDescent="0.3">
      <c r="A243" s="330"/>
      <c r="B243" s="580" t="s">
        <v>92</v>
      </c>
      <c r="C243" s="580"/>
      <c r="D243" s="580"/>
      <c r="E243" s="580"/>
      <c r="F243" s="330"/>
      <c r="G243" s="580" t="s">
        <v>136</v>
      </c>
      <c r="H243" s="580"/>
      <c r="I243" s="580"/>
      <c r="J243" s="580"/>
      <c r="L243" s="330"/>
      <c r="M243" s="580" t="s">
        <v>92</v>
      </c>
      <c r="N243" s="580"/>
      <c r="O243" s="580"/>
      <c r="P243" s="580"/>
      <c r="Q243" s="330"/>
      <c r="R243" s="580" t="s">
        <v>136</v>
      </c>
      <c r="S243" s="580"/>
      <c r="T243" s="580"/>
      <c r="U243" s="580"/>
      <c r="W243" s="330"/>
      <c r="X243" s="580" t="s">
        <v>92</v>
      </c>
      <c r="Y243" s="580"/>
      <c r="Z243" s="580"/>
      <c r="AA243" s="580"/>
      <c r="AB243" s="330"/>
      <c r="AC243" s="580" t="s">
        <v>136</v>
      </c>
      <c r="AD243" s="580"/>
      <c r="AE243" s="580"/>
      <c r="AF243" s="580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</v>
      </c>
      <c r="D246" s="338">
        <f>(D247-D245)/(C247-C245)*(C246-C245)+D245</f>
        <v>0</v>
      </c>
      <c r="E246" s="338">
        <f>(E247-E245)/(C247-C245)*(C246-C245)+E245</f>
        <v>1.6000000000000001E-4</v>
      </c>
      <c r="F246" s="330"/>
      <c r="G246" s="335"/>
      <c r="H246" s="337">
        <f>B32</f>
        <v>0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</v>
      </c>
      <c r="O246" s="338">
        <f>(O247-O245)/(N247-N245)*(N246-N245)+O245</f>
        <v>0</v>
      </c>
      <c r="P246" s="338">
        <f>(P247-P245)/(N247-N245)*(N246-N245)+P245</f>
        <v>0.05</v>
      </c>
      <c r="Q246" s="330"/>
      <c r="R246" s="335"/>
      <c r="S246" s="337">
        <f>H246</f>
        <v>0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7521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7521" r:id="rId3"/>
      </mc:Fallback>
    </mc:AlternateContent>
    <mc:AlternateContent xmlns:mc="http://schemas.openxmlformats.org/markup-compatibility/2006">
      <mc:Choice Requires="x14">
        <oleObject progId="Equation.3" shapeId="107522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7522" r:id="rId5"/>
      </mc:Fallback>
    </mc:AlternateContent>
    <mc:AlternateContent xmlns:mc="http://schemas.openxmlformats.org/markup-compatibility/2006">
      <mc:Choice Requires="x14">
        <oleObject progId="Equation.3" shapeId="107523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7523" r:id="rId7"/>
      </mc:Fallback>
    </mc:AlternateContent>
    <mc:AlternateContent xmlns:mc="http://schemas.openxmlformats.org/markup-compatibility/2006">
      <mc:Choice Requires="x14">
        <oleObject progId="Equation.3" shapeId="107524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7524" r:id="rId9"/>
      </mc:Fallback>
    </mc:AlternateContent>
    <mc:AlternateContent xmlns:mc="http://schemas.openxmlformats.org/markup-compatibility/2006">
      <mc:Choice Requires="x14">
        <oleObject progId="Equation.3" shapeId="107525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7525" r:id="rId11"/>
      </mc:Fallback>
    </mc:AlternateContent>
    <mc:AlternateContent xmlns:mc="http://schemas.openxmlformats.org/markup-compatibility/2006">
      <mc:Choice Requires="x14">
        <oleObject progId="Equation.3" shapeId="107527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7527" r:id="rId13"/>
      </mc:Fallback>
    </mc:AlternateContent>
    <mc:AlternateContent xmlns:mc="http://schemas.openxmlformats.org/markup-compatibility/2006">
      <mc:Choice Requires="x14">
        <oleObject progId="Equation.3" shapeId="107528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7528" r:id="rId14"/>
      </mc:Fallback>
    </mc:AlternateContent>
    <mc:AlternateContent xmlns:mc="http://schemas.openxmlformats.org/markup-compatibility/2006">
      <mc:Choice Requires="x14">
        <oleObject progId="Equation.3" shapeId="107530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7530" r:id="rId16"/>
      </mc:Fallback>
    </mc:AlternateContent>
    <mc:AlternateContent xmlns:mc="http://schemas.openxmlformats.org/markup-compatibility/2006">
      <mc:Choice Requires="x14">
        <oleObject progId="Equation.3" shapeId="107531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7531" r:id="rId17"/>
      </mc:Fallback>
    </mc:AlternateContent>
    <mc:AlternateContent xmlns:mc="http://schemas.openxmlformats.org/markup-compatibility/2006">
      <mc:Choice Requires="x14">
        <oleObject progId="Equation.3" shapeId="107532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7532" r:id="rId19"/>
      </mc:Fallback>
    </mc:AlternateContent>
    <mc:AlternateContent xmlns:mc="http://schemas.openxmlformats.org/markup-compatibility/2006">
      <mc:Choice Requires="x14">
        <oleObject progId="Equation.3" shapeId="107533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7533" r:id="rId21"/>
      </mc:Fallback>
    </mc:AlternateContent>
    <mc:AlternateContent xmlns:mc="http://schemas.openxmlformats.org/markup-compatibility/2006">
      <mc:Choice Requires="x14">
        <oleObject progId="Equation.3" shapeId="107534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7534" r:id="rId22"/>
      </mc:Fallback>
    </mc:AlternateContent>
    <mc:AlternateContent xmlns:mc="http://schemas.openxmlformats.org/markup-compatibility/2006">
      <mc:Choice Requires="x14">
        <oleObject progId="Equation.3" shapeId="107535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7535" r:id="rId24"/>
      </mc:Fallback>
    </mc:AlternateContent>
    <mc:AlternateContent xmlns:mc="http://schemas.openxmlformats.org/markup-compatibility/2006">
      <mc:Choice Requires="x14">
        <oleObject progId="Equation.3" shapeId="107536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6" r:id="rId25"/>
      </mc:Fallback>
    </mc:AlternateContent>
    <mc:AlternateContent xmlns:mc="http://schemas.openxmlformats.org/markup-compatibility/2006">
      <mc:Choice Requires="x14">
        <oleObject progId="Equation.3" shapeId="107537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37" r:id="rId26"/>
      </mc:Fallback>
    </mc:AlternateContent>
    <mc:AlternateContent xmlns:mc="http://schemas.openxmlformats.org/markup-compatibility/2006">
      <mc:Choice Requires="x14">
        <oleObject progId="Equation.3" shapeId="107538" r:id="rId27">
          <objectPr defaultSize="0" autoPict="0" r:id="rId28">
            <anchor moveWithCells="1" sizeWithCells="1">
              <from>
                <xdr:col>0</xdr:col>
                <xdr:colOff>693420</xdr:colOff>
                <xdr:row>10</xdr:row>
                <xdr:rowOff>15240</xdr:rowOff>
              </from>
              <to>
                <xdr:col>2</xdr:col>
                <xdr:colOff>76200</xdr:colOff>
                <xdr:row>12</xdr:row>
                <xdr:rowOff>228600</xdr:rowOff>
              </to>
            </anchor>
          </objectPr>
        </oleObject>
      </mc:Choice>
      <mc:Fallback>
        <oleObject progId="Equation.3" shapeId="107538" r:id="rId27"/>
      </mc:Fallback>
    </mc:AlternateContent>
    <mc:AlternateContent xmlns:mc="http://schemas.openxmlformats.org/markup-compatibility/2006">
      <mc:Choice Requires="x14">
        <oleObject progId="Equation.3" shapeId="107539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9" r:id="rId29"/>
      </mc:Fallback>
    </mc:AlternateContent>
    <mc:AlternateContent xmlns:mc="http://schemas.openxmlformats.org/markup-compatibility/2006">
      <mc:Choice Requires="x14">
        <oleObject progId="Equation.3" shapeId="107540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7540" r:id="rId30"/>
      </mc:Fallback>
    </mc:AlternateContent>
    <mc:AlternateContent xmlns:mc="http://schemas.openxmlformats.org/markup-compatibility/2006">
      <mc:Choice Requires="x14">
        <oleObject progId="Equation.3" shapeId="107541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41" r:id="rId32"/>
      </mc:Fallback>
    </mc:AlternateContent>
    <mc:AlternateContent xmlns:mc="http://schemas.openxmlformats.org/markup-compatibility/2006">
      <mc:Choice Requires="x14">
        <oleObject progId="Equation.3" shapeId="107542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2" r:id="rId33"/>
      </mc:Fallback>
    </mc:AlternateContent>
    <mc:AlternateContent xmlns:mc="http://schemas.openxmlformats.org/markup-compatibility/2006">
      <mc:Choice Requires="x14">
        <oleObject progId="Equation.3" shapeId="107543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3" r:id="rId34"/>
      </mc:Fallback>
    </mc:AlternateContent>
    <mc:AlternateContent xmlns:mc="http://schemas.openxmlformats.org/markup-compatibility/2006">
      <mc:Choice Requires="x14">
        <oleObject progId="Equation.3" shapeId="107544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4" r:id="rId35"/>
      </mc:Fallback>
    </mc:AlternateContent>
    <mc:AlternateContent xmlns:mc="http://schemas.openxmlformats.org/markup-compatibility/2006">
      <mc:Choice Requires="x14">
        <oleObject progId="Equation.3" shapeId="107545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7545" r:id="rId36"/>
      </mc:Fallback>
    </mc:AlternateContent>
    <mc:AlternateContent xmlns:mc="http://schemas.openxmlformats.org/markup-compatibility/2006">
      <mc:Choice Requires="x14">
        <oleObject progId="Equation.3" shapeId="107546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6" r:id="rId3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F3C8-206B-47F9-A7DC-7934FB825D30}">
  <dimension ref="A1:BE260"/>
  <sheetViews>
    <sheetView topLeftCell="AT1" workbookViewId="0">
      <selection activeCell="BA15" sqref="BA15"/>
    </sheetView>
  </sheetViews>
  <sheetFormatPr baseColWidth="10" defaultRowHeight="13.2" x14ac:dyDescent="0.25"/>
  <cols>
    <col min="1" max="1" width="17.6640625" customWidth="1"/>
    <col min="2" max="2" width="13.332031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94" t="s">
        <v>47</v>
      </c>
      <c r="AJ1" s="594"/>
      <c r="AK1" s="594"/>
      <c r="AL1" s="594"/>
      <c r="AN1" s="594" t="s">
        <v>48</v>
      </c>
      <c r="AO1" s="594"/>
      <c r="AP1" s="594"/>
      <c r="AQ1" s="594"/>
      <c r="AV1" s="585" t="s">
        <v>14</v>
      </c>
      <c r="AW1" s="585"/>
      <c r="AX1" s="585"/>
      <c r="AY1" s="585"/>
      <c r="AZ1" s="585"/>
      <c r="BA1" s="585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602">
        <f>AO14</f>
        <v>4.1721998668247425E-5</v>
      </c>
      <c r="K2" s="603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623" t="s">
        <v>227</v>
      </c>
      <c r="C3" s="623"/>
      <c r="D3" s="310"/>
      <c r="E3" s="309"/>
      <c r="G3" s="619" t="s">
        <v>1</v>
      </c>
      <c r="H3" s="620"/>
      <c r="I3" s="10"/>
      <c r="J3" s="30">
        <f>Datos!N58-M144</f>
        <v>-8.8060836501901149E-2</v>
      </c>
      <c r="K3" s="30">
        <f>Datos!O58-R144</f>
        <v>-8.6539923954372627E-2</v>
      </c>
      <c r="L3" s="67">
        <f>Datos!P58</f>
        <v>0</v>
      </c>
      <c r="M3" s="156">
        <f>AVERAGE(J3:K3)</f>
        <v>-8.7300380228136881E-2</v>
      </c>
      <c r="W3" s="7" t="s">
        <v>31</v>
      </c>
      <c r="AV3" s="568" t="s">
        <v>172</v>
      </c>
      <c r="AW3" s="568"/>
      <c r="AX3" s="568"/>
      <c r="AY3" s="568"/>
      <c r="AZ3" s="568"/>
      <c r="BA3" s="568"/>
      <c r="BB3" s="568"/>
      <c r="BC3" s="568"/>
      <c r="BD3" s="568"/>
      <c r="BE3" s="56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621" t="s">
        <v>12</v>
      </c>
      <c r="H4" s="622"/>
      <c r="I4" s="29"/>
      <c r="J4" s="30">
        <f>Datos!N59-M162</f>
        <v>0.61162790697674441</v>
      </c>
      <c r="K4" s="30">
        <f>Datos!O59-R162</f>
        <v>0.48372093023255824</v>
      </c>
      <c r="L4" s="67">
        <f>Datos!P59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617" t="s">
        <v>23</v>
      </c>
      <c r="H5" s="618"/>
      <c r="I5" s="18"/>
      <c r="J5" s="30">
        <f>Datos!N60-M177</f>
        <v>0</v>
      </c>
      <c r="K5" s="30">
        <f>Datos!O60-R177</f>
        <v>0</v>
      </c>
      <c r="L5" s="67">
        <f>Datos!P60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72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604" t="s">
        <v>44</v>
      </c>
      <c r="AP6" s="604"/>
      <c r="AV6" s="184" t="s">
        <v>164</v>
      </c>
      <c r="AW6" s="573"/>
      <c r="AX6" s="183" t="s">
        <v>167</v>
      </c>
      <c r="AY6" s="162" t="s">
        <v>161</v>
      </c>
      <c r="AZ6" s="163"/>
      <c r="BA6" s="164">
        <f>IF(Datos!N5=Datos!$S$8,MAX(E245:E247)/1000000,IF(Datos!N5=Datos!$S$9,MAX(P245:P247)/1000,IF(Datos!N5=Datos!$S$10,MAX(AF245:AF247))))</f>
        <v>2.0000000000000001E-4</v>
      </c>
      <c r="BB6" s="165" t="s">
        <v>9</v>
      </c>
      <c r="BC6" s="185">
        <v>1</v>
      </c>
      <c r="BD6" s="166">
        <f>BA6*BC6</f>
        <v>2.0000000000000001E-4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73"/>
      <c r="AX7" s="169" t="s">
        <v>136</v>
      </c>
      <c r="AY7" s="169" t="s">
        <v>168</v>
      </c>
      <c r="AZ7" s="169"/>
      <c r="BA7" s="170">
        <f>IF(Datos!N5=Datos!$S$8,(Datos!I12/1000000)*SQRT(12),IF(Datos!N5=Datos!$S$9,(Datos!I12/1000)/SQRT(12),IF(Datos!N5=Datos!$S$10,Datos!I12/SQRT(12))))</f>
        <v>2.8867513459481293E-5</v>
      </c>
      <c r="BB7" s="171" t="str">
        <f>BB6</f>
        <v>kg</v>
      </c>
      <c r="BC7" s="186">
        <v>1</v>
      </c>
      <c r="BD7" s="172">
        <f>BA7*BC7</f>
        <v>2.8867513459481293E-5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73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74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69" t="s">
        <v>162</v>
      </c>
      <c r="AW10" s="570"/>
      <c r="AX10" s="570"/>
      <c r="AY10" s="570"/>
      <c r="AZ10" s="570"/>
      <c r="BA10" s="570"/>
      <c r="BB10" s="570"/>
      <c r="BC10" s="571"/>
      <c r="BD10" s="265">
        <f>SQRT(SUMSQ(BD6:BD7))</f>
        <v>2.0207259421636903E-4</v>
      </c>
      <c r="BE10" s="182">
        <f>BD10^4/((BD6^4/BE6)+(BD7^4/BE7))</f>
        <v>104.16485900216924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606" t="s">
        <v>36</v>
      </c>
      <c r="O11" s="606"/>
      <c r="P11" s="595" t="s">
        <v>36</v>
      </c>
      <c r="Q11" s="595"/>
      <c r="R11" s="596" t="s">
        <v>36</v>
      </c>
      <c r="S11" s="596"/>
      <c r="T11" s="597" t="s">
        <v>36</v>
      </c>
      <c r="U11" s="597"/>
      <c r="V11" s="598" t="s">
        <v>36</v>
      </c>
      <c r="W11" s="598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565"/>
      <c r="J12" s="565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68" t="s">
        <v>173</v>
      </c>
      <c r="AW12" s="568"/>
      <c r="AX12" s="568"/>
      <c r="AY12" s="568"/>
      <c r="AZ12" s="568"/>
      <c r="BA12" s="568"/>
      <c r="BB12" s="568"/>
      <c r="BC12" s="568"/>
      <c r="BD12" s="568"/>
      <c r="BE12" s="56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72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73"/>
      <c r="AX15" s="183" t="s">
        <v>167</v>
      </c>
      <c r="AY15" s="162" t="s">
        <v>161</v>
      </c>
      <c r="AZ15" s="163"/>
      <c r="BA15" s="164">
        <f>IF(Datos!N5=Datos!$S$8,MAX(J245:J247)/1000000,IF(Datos!N5=Datos!$S$9,MAX(U245:U247)/1000,IF(Datos!N5=Datos!$S$10,MAX(AF245:AF247))))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73"/>
      <c r="AX16" s="169" t="s">
        <v>136</v>
      </c>
      <c r="AY16" s="169" t="s">
        <v>168</v>
      </c>
      <c r="AZ16" s="169"/>
      <c r="BA16" s="170">
        <f>BA7</f>
        <v>2.8867513459481293E-5</v>
      </c>
      <c r="BB16" s="171" t="str">
        <f>BB15</f>
        <v>kg</v>
      </c>
      <c r="BC16" s="186">
        <v>1</v>
      </c>
      <c r="BD16" s="172">
        <f>BA16*BC16</f>
        <v>2.8867513459481293E-5</v>
      </c>
      <c r="BE16" s="173">
        <v>100</v>
      </c>
    </row>
    <row r="17" spans="1:57" ht="29.4" thickTop="1" x14ac:dyDescent="0.3">
      <c r="A17" s="612" t="s">
        <v>2</v>
      </c>
      <c r="B17" s="1" t="s">
        <v>16</v>
      </c>
      <c r="C17" s="2"/>
      <c r="D17" s="13" t="s">
        <v>3</v>
      </c>
      <c r="E17" s="3" t="s">
        <v>4</v>
      </c>
      <c r="F17" s="615" t="s">
        <v>5</v>
      </c>
      <c r="G17" s="616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605" t="s">
        <v>46</v>
      </c>
      <c r="AD17" s="605"/>
      <c r="AE17" s="605"/>
      <c r="AF17" s="605"/>
      <c r="AV17" s="255" t="s">
        <v>166</v>
      </c>
      <c r="AW17" s="573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613"/>
      <c r="B18" s="4" t="s">
        <v>6</v>
      </c>
      <c r="C18" s="4" t="s">
        <v>7</v>
      </c>
      <c r="D18" s="14" t="s">
        <v>8</v>
      </c>
      <c r="E18" s="4" t="s">
        <v>8</v>
      </c>
      <c r="F18" s="615"/>
      <c r="G18" s="616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74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614"/>
      <c r="B19" s="5" t="b">
        <f>IF(Datos!N5=1,"kg",IF(Datos!N5=2,"kg",IF(Datos!N5=3,"kg")))</f>
        <v>0</v>
      </c>
      <c r="C19" s="5" t="b">
        <f>B19</f>
        <v>0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69" t="s">
        <v>162</v>
      </c>
      <c r="AW19" s="570"/>
      <c r="AX19" s="570"/>
      <c r="AY19" s="570"/>
      <c r="AZ19" s="570"/>
      <c r="BA19" s="570"/>
      <c r="BB19" s="570"/>
      <c r="BC19" s="571"/>
      <c r="BD19" s="265">
        <f>SQRT(SUMSQ(BD15:BD16))</f>
        <v>2.8867513459481293E-5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IF(Datos!$N$5=Datos!$S$8,(IF(Datos!$N$5=Datos!$S$8,Datos!D59/1000,IF(Datos!$N$5=Datos!$S$9,Datos!D59/1000,IF(Datos!$N$5=Datos!$S$10,Datos!D59," Error "))))-'punto 1'!$Y$144/1000000,IF(Datos!$N$5=Datos!$S$9,(IF(Datos!$N$5=Datos!$S$8,Datos!D59/1000000,IF(Datos!$N$5=Datos!$S$9,Datos!D59/1000,IF(Datos!$N$5=Datos!$S$10,Datos!D59," Error "))))-'punto 1'!$AJ$144/1000,IF(Datos!$N$5=Datos!$S$10,(IF(Datos!$N$5=Datos!$S$8,Datos!D59/1000000,IF(Datos!$N$5=Datos!$S$9,Datos!D59/1000,IF(Datos!$N$5=Datos!$S$10,Datos!D59," Error "))))-'punto 1'!$AU$144)))</f>
        <v>0</v>
      </c>
      <c r="C20" s="157">
        <f>IF(Datos!$N$5=Datos!$S$8,(IF(Datos!$N$5=Datos!$S$8,Datos!E59/1000,IF(Datos!$N$5=Datos!$S$9,Datos!E59/1000,IF(Datos!$N$5=Datos!$S$10,Datos!E59," Error "))))-'punto 1'!$AD$144/1000000,IF(Datos!$N$5=Datos!$S$9,(IF(Datos!$N$5=Datos!$S$8,Datos!E59/1000000,IF(Datos!$N$5=Datos!$S$9,Datos!E59/1000,IF(Datos!$N$5=Datos!S10,Datos!E59," Error "))))-'punto 1'!$AO$144/1000,IF(Datos!$N$5=Datos!$S$9,(IF(Datos!$N$5=Datos!$S$8,Datos!E59/1000000,IF(Datos!$N$5=Datos!S9,Datos!E59/1000,IF(Datos!$N$5=Datos!$S$10,Datos!E59," Error "))))-'punto 1'!$AZ$144)))</f>
        <v>0</v>
      </c>
      <c r="D20" s="109">
        <f>Datos!F59-E144</f>
        <v>3.7058964238727427E-3</v>
      </c>
      <c r="E20" s="59">
        <f>O18*1000</f>
        <v>999.85331435241267</v>
      </c>
      <c r="F20" s="274">
        <f>(((B20-C20))/8000)*((1/(E20-($J$2)))*(8000-$J$2)*(1-Datos!$K$8*(D20-20)))</f>
        <v>0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IF(Datos!$N$5=Datos!$S$8,(IF(Datos!$N$5=Datos!$S$8,Datos!D60/1000,IF(Datos!$N$5=Datos!$S$9,Datos!D60/1000,IF(Datos!$N$5=Datos!$S$10,Datos!D60," Error "))))-'punto 1'!$Y$144/1000000,IF(Datos!$N$5=Datos!$S$9,(IF(Datos!$N$5=Datos!$S$8,Datos!D60/1000000,IF(Datos!$N$5=Datos!$S$9,Datos!D60/1000,IF(Datos!$N$5=Datos!$S$10,Datos!D60," Error "))))-'punto 1'!$AJ$144/1000,IF(Datos!$N$5=Datos!$S$10,(IF(Datos!$N$5=Datos!$S$8,Datos!D60/1000000,IF(Datos!$N$5=Datos!$S$9,Datos!D60/1000,IF(Datos!$N$5=Datos!$S$10,Datos!D60," Error "))))-'punto 1'!$AU$144)))</f>
        <v>0</v>
      </c>
      <c r="C21" s="157">
        <f>IF(Datos!$N$5=Datos!$S$8,(IF(Datos!$N$5=Datos!$S$8,Datos!E60/1000,IF(Datos!$N$5=Datos!$S$9,Datos!E60/1000,IF(Datos!$N$5=Datos!$S$10,Datos!E60," Error "))))-'punto 1'!$AD$144/1000000,IF(Datos!$N$5=Datos!$S$9,(IF(Datos!$N$5=Datos!$S$8,Datos!E60/1000000,IF(Datos!$N$5=Datos!$S$9,Datos!E60/1000,IF(Datos!$N$5=Datos!S11,Datos!E60," Error "))))-'punto 1'!$AO$144/1000,IF(Datos!$N$5=Datos!$S$9,(IF(Datos!$N$5=Datos!$S$8,Datos!E60/1000000,IF(Datos!$N$5=Datos!S10,Datos!E60/1000,IF(Datos!$N$5=Datos!$S$10,Datos!E60," Error "))))-'punto 1'!$AZ$144)))</f>
        <v>0</v>
      </c>
      <c r="D21" s="109">
        <f>Datos!F60-E161</f>
        <v>3.7052984092811867E-3</v>
      </c>
      <c r="E21" s="59">
        <f>Q18*1000</f>
        <v>999.85331431461441</v>
      </c>
      <c r="F21" s="274">
        <f>(((B21-C21))/8000)*((1/(E21-($J$2)))*(8000-$J$2)*(1-Datos!$K$8*(D21-20)))</f>
        <v>0</v>
      </c>
      <c r="G21" s="625" t="s">
        <v>15</v>
      </c>
      <c r="H21" s="562" t="s">
        <v>17</v>
      </c>
      <c r="I21" s="280"/>
      <c r="J21" s="589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68" t="s">
        <v>177</v>
      </c>
      <c r="AW21" s="568"/>
      <c r="AX21" s="568"/>
      <c r="AY21" s="568"/>
      <c r="AZ21" s="568"/>
      <c r="BA21" s="568"/>
      <c r="BB21" s="568"/>
      <c r="BC21" s="568"/>
      <c r="BD21" s="568"/>
      <c r="BE21" s="568"/>
    </row>
    <row r="22" spans="1:57" ht="50.4" x14ac:dyDescent="0.3">
      <c r="A22" s="9">
        <v>3</v>
      </c>
      <c r="B22" s="157">
        <f>IF(Datos!$N$5=Datos!$S$8,(IF(Datos!$N$5=Datos!$S$8,Datos!D61/1000,IF(Datos!$N$5=Datos!$S$9,Datos!D61/1000,IF(Datos!$N$5=Datos!$S$10,Datos!D61," Error "))))-'punto 1'!$Y$144/1000000,IF(Datos!$N$5=Datos!$S$9,(IF(Datos!$N$5=Datos!$S$8,Datos!D61/1000000,IF(Datos!$N$5=Datos!$S$9,Datos!D61/1000,IF(Datos!$N$5=Datos!$S$10,Datos!D61," Error "))))-'punto 1'!$AJ$144/1000,IF(Datos!$N$5=Datos!$S$10,(IF(Datos!$N$5=Datos!$S$8,Datos!D61/1000000,IF(Datos!$N$5=Datos!$S$9,Datos!D61/1000,IF(Datos!$N$5=Datos!$S$10,Datos!D61," Error "))))-'punto 1'!$AU$144)))</f>
        <v>0</v>
      </c>
      <c r="C22" s="157">
        <f>IF(Datos!$N$5=Datos!$S$8,(IF(Datos!$N$5=Datos!$S$8,Datos!E61/1000,IF(Datos!$N$5=Datos!$S$9,Datos!E61/1000,IF(Datos!$N$5=Datos!$S$10,Datos!E61," Error "))))-'punto 1'!$AD$144/1000000,IF(Datos!$N$5=Datos!$S$9,(IF(Datos!$N$5=Datos!$S$8,Datos!E61/1000000,IF(Datos!$N$5=Datos!$S$9,Datos!E61/1000,IF(Datos!$N$5=Datos!S12,Datos!E61," Error "))))-'punto 1'!$AO$144/1000,IF(Datos!$N$5=Datos!$S$9,(IF(Datos!$N$5=Datos!$S$8,Datos!E61/1000000,IF(Datos!$N$5=Datos!S11,Datos!E61/1000,IF(Datos!$N$5=Datos!$S$10,Datos!E61," Error "))))-'punto 1'!$AZ$144)))</f>
        <v>0</v>
      </c>
      <c r="D22" s="109">
        <f>Datos!F61-E178</f>
        <v>3.7052984092811867E-3</v>
      </c>
      <c r="E22" s="59">
        <f>S18*1000</f>
        <v>999.85331431461441</v>
      </c>
      <c r="F22" s="274">
        <f>(((B22-C22))/8000)*((1/(E22-($J$2)))*(8000-$J$2)*(1-Datos!$K$8*(D22-20)))</f>
        <v>0</v>
      </c>
      <c r="G22" s="625"/>
      <c r="H22" s="562"/>
      <c r="I22" s="281"/>
      <c r="J22" s="589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IF(Datos!$N$5=Datos!$S$8,(IF(Datos!$N$5=Datos!$S$8,Datos!D62/1000,IF(Datos!$N$5=Datos!$S$9,Datos!D62/1000,IF(Datos!$N$5=Datos!$S$10,Datos!D62," Error "))))-'punto 1'!$Y$144/1000000,IF(Datos!$N$5=Datos!$S$9,(IF(Datos!$N$5=Datos!$S$8,Datos!D62/1000000,IF(Datos!$N$5=Datos!$S$9,Datos!D62/1000,IF(Datos!$N$5=Datos!$S$10,Datos!D62," Error "))))-'punto 1'!$AJ$144/1000,IF(Datos!$N$5=Datos!$S$10,(IF(Datos!$N$5=Datos!$S$8,Datos!D62/1000000,IF(Datos!$N$5=Datos!$S$9,Datos!D62/1000,IF(Datos!$N$5=Datos!$S$10,Datos!D62," Error "))))-'punto 1'!$AU$144)))</f>
        <v>0</v>
      </c>
      <c r="C23" s="157">
        <f>IF(Datos!$N$5=Datos!$S$8,(IF(Datos!$N$5=Datos!$S$8,Datos!E62/1000,IF(Datos!$N$5=Datos!$S$9,Datos!E62/1000,IF(Datos!$N$5=Datos!$S$10,Datos!E62," Error "))))-'punto 1'!$AD$144/1000000,IF(Datos!$N$5=Datos!$S$9,(IF(Datos!$N$5=Datos!$S$8,Datos!E62/1000000,IF(Datos!$N$5=Datos!$S$9,Datos!E62/1000,IF(Datos!$N$5=Datos!S13,Datos!E62," Error "))))-'punto 1'!$AO$144/1000,IF(Datos!$N$5=Datos!$S$9,(IF(Datos!$N$5=Datos!$S$8,Datos!E62/1000000,IF(Datos!$N$5=Datos!S12,Datos!E62/1000,IF(Datos!$N$5=Datos!$S$10,Datos!E62," Error "))))-'punto 1'!$AZ$144)))</f>
        <v>0</v>
      </c>
      <c r="D23" s="109">
        <f>Datos!F62-E195</f>
        <v>3.7056572180361202E-3</v>
      </c>
      <c r="E23" s="79">
        <f>U18*1000</f>
        <v>999.85331433729334</v>
      </c>
      <c r="F23" s="274">
        <f>(((B23-C23))/8000)*((1/(E23-($J$2)))*(8000-$J$2)*(1-Datos!$K$8*(D23-20)))</f>
        <v>0</v>
      </c>
      <c r="G23" s="632" t="s">
        <v>13</v>
      </c>
      <c r="H23" s="633"/>
      <c r="I23" s="273"/>
      <c r="J23" s="278"/>
      <c r="AE23" s="25" t="s">
        <v>18</v>
      </c>
      <c r="AF23" s="25">
        <f>AVERAGE(AF18:AF22)</f>
        <v>999.83551560855381</v>
      </c>
      <c r="AV23" s="134"/>
      <c r="AW23" s="572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IF(Datos!$N$5=Datos!$S$8,(IF(Datos!$N$5=Datos!$S$8,Datos!D63/1000,IF(Datos!$N$5=Datos!$S$9,Datos!D63/1000,IF(Datos!$N$5=Datos!$S$10,Datos!D63," Error "))))-'punto 1'!$Y$144/1000000,IF(Datos!$N$5=Datos!$S$9,(IF(Datos!$N$5=Datos!$S$8,Datos!D63/1000000,IF(Datos!$N$5=Datos!$S$9,Datos!D63/1000,IF(Datos!$N$5=Datos!$S$10,Datos!D63," Error "))))-'punto 1'!$AJ$144/1000,IF(Datos!$N$5=Datos!$S$10,(IF(Datos!$N$5=Datos!$S$8,Datos!D63/1000000,IF(Datos!$N$5=Datos!$S$9,Datos!D63/1000,IF(Datos!$N$5=Datos!$S$10,Datos!D63," Error "))))-'punto 1'!$AU$144)))</f>
        <v>0</v>
      </c>
      <c r="C24" s="157">
        <f>IF(Datos!$N$5=Datos!$S$8,(IF(Datos!$N$5=Datos!$S$8,Datos!E63/1000,IF(Datos!$N$5=Datos!$S$9,Datos!E63/1000,IF(Datos!$N$5=Datos!$S$10,Datos!E63," Error "))))-'punto 1'!$AD$144/1000000,IF(Datos!$N$5=Datos!$S$9,(IF(Datos!$N$5=Datos!$S$8,Datos!E63/1000000,IF(Datos!$N$5=Datos!$S$9,Datos!E63/1000,IF(Datos!$N$5=Datos!S14,Datos!E63," Error "))))-'punto 1'!$AO$144/1000,IF(Datos!$N$5=Datos!$S$9,(IF(Datos!$N$5=Datos!$S$8,Datos!E63/1000000,IF(Datos!$N$5=Datos!S13,Datos!E63/1000,IF(Datos!$N$5=Datos!$S$10,Datos!E63," Error "))))-'punto 1'!$AZ$144)))</f>
        <v>0</v>
      </c>
      <c r="D24" s="109">
        <f>Datos!F63-E212</f>
        <v>3.7057369533149941E-3</v>
      </c>
      <c r="E24" s="79">
        <f>W18*1000</f>
        <v>999.85331434233319</v>
      </c>
      <c r="F24" s="274">
        <f>(((B24-C24))/8000)*((1/(E24-($J$2)))*(8000-$J$2)*(1-Datos!$K$8*(D24-20)))</f>
        <v>0</v>
      </c>
      <c r="G24" s="284">
        <f>IF(Datos!U4=Datos!$U$5,AVERAGE(F20:F24)*1000000,IF(Datos!U4=Datos!$U$6,AVERAGE(F20:F24)*1000000))</f>
        <v>0</v>
      </c>
      <c r="H24" s="283">
        <f>G24-Datos!E55</f>
        <v>-10</v>
      </c>
      <c r="I24" s="282"/>
      <c r="J24" s="279"/>
      <c r="AV24" s="184" t="s">
        <v>164</v>
      </c>
      <c r="AW24" s="573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73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73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74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69" t="s">
        <v>162</v>
      </c>
      <c r="AW28" s="570"/>
      <c r="AX28" s="570"/>
      <c r="AY28" s="570"/>
      <c r="AZ28" s="570"/>
      <c r="BA28" s="570"/>
      <c r="BB28" s="570"/>
      <c r="BC28" s="571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2.0207259421636903E-4</v>
      </c>
      <c r="M29" s="190" t="s">
        <v>9</v>
      </c>
      <c r="N29" s="218">
        <f>(((1))/8000)*((1/(E20-($J$2)))*(8000-$J$2)*(1-Datos!$K$8*(B35-20)))</f>
        <v>1.0121462809371273E-3</v>
      </c>
      <c r="O29" s="229" t="s">
        <v>212</v>
      </c>
      <c r="P29" s="223">
        <f t="shared" ref="P29:P36" si="0">(L29*N29)</f>
        <v>2.0452702471541517E-7</v>
      </c>
      <c r="Q29" s="191">
        <f>BE10</f>
        <v>104.16485900216924</v>
      </c>
      <c r="R29" s="138">
        <f>(P29/$P$38)^2</f>
        <v>0.19986161764867705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2.8867513459481293E-5</v>
      </c>
      <c r="M30" s="196" t="s">
        <v>9</v>
      </c>
      <c r="N30" s="219">
        <f>(((-1))/8000)*((1/(E20-($J$2)))*(8000-$J$2)*(1-Datos!$K$8*(B35-20)))</f>
        <v>-1.0121462809371273E-3</v>
      </c>
      <c r="O30" s="196" t="s">
        <v>212</v>
      </c>
      <c r="P30" s="224">
        <f t="shared" si="0"/>
        <v>-2.9218146387916457E-8</v>
      </c>
      <c r="Q30" s="150">
        <f>BE19</f>
        <v>100</v>
      </c>
      <c r="R30" s="296">
        <f t="shared" ref="R30:R36" si="1">(P30/$P$38)^2</f>
        <v>4.078808523442389E-3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0</v>
      </c>
      <c r="O31" s="229" t="s">
        <v>190</v>
      </c>
      <c r="P31" s="223">
        <f t="shared" si="0"/>
        <v>0</v>
      </c>
      <c r="Q31" s="230">
        <f>BE28</f>
        <v>100.0015040689135</v>
      </c>
      <c r="R31" s="138">
        <f t="shared" si="1"/>
        <v>0</v>
      </c>
      <c r="AV31" s="134"/>
      <c r="AW31" s="572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0</v>
      </c>
      <c r="O32" s="77" t="s">
        <v>190</v>
      </c>
      <c r="P32" s="225">
        <f t="shared" si="0"/>
        <v>0</v>
      </c>
      <c r="Q32" s="142">
        <v>100</v>
      </c>
      <c r="R32" s="296">
        <f t="shared" si="1"/>
        <v>0</v>
      </c>
      <c r="AV32" s="184" t="s">
        <v>164</v>
      </c>
      <c r="AW32" s="573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0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0</v>
      </c>
      <c r="O33" s="190" t="s">
        <v>211</v>
      </c>
      <c r="P33" s="261">
        <f t="shared" si="0"/>
        <v>0</v>
      </c>
      <c r="Q33" s="149">
        <v>100</v>
      </c>
      <c r="R33" s="138">
        <f t="shared" si="1"/>
        <v>0</v>
      </c>
      <c r="AV33" s="168" t="s">
        <v>165</v>
      </c>
      <c r="AW33" s="573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0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1.7320508075688774E-5</v>
      </c>
      <c r="M34" s="196" t="s">
        <v>197</v>
      </c>
      <c r="N34" s="232">
        <f>--((B31-B32)*(8000-J2)*(B35-20))/(8000*(X19-J2))</f>
        <v>0</v>
      </c>
      <c r="O34" s="159" t="s">
        <v>208</v>
      </c>
      <c r="P34" s="224">
        <f t="shared" si="0"/>
        <v>0</v>
      </c>
      <c r="Q34" s="160">
        <v>100</v>
      </c>
      <c r="R34" s="296">
        <f t="shared" si="1"/>
        <v>0</v>
      </c>
      <c r="AV34" s="581" t="s">
        <v>166</v>
      </c>
      <c r="AW34" s="573"/>
      <c r="AX34" s="174" t="s">
        <v>135</v>
      </c>
      <c r="AY34" s="174" t="s">
        <v>169</v>
      </c>
      <c r="AZ34" s="174"/>
      <c r="BA34" s="566">
        <f>(MAX(J3:K3)-MIN(J3:K3))/SQRT(24)</f>
        <v>3.1045497373677892E-4</v>
      </c>
      <c r="BB34" s="577" t="str">
        <f>BB33</f>
        <v>0C</v>
      </c>
      <c r="BC34" s="575">
        <v>1</v>
      </c>
      <c r="BD34" s="566">
        <f>BA34*BC34</f>
        <v>3.1045497373677892E-4</v>
      </c>
      <c r="BE34" s="586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0</v>
      </c>
      <c r="O35" s="229" t="s">
        <v>209</v>
      </c>
      <c r="P35" s="223">
        <f t="shared" si="0"/>
        <v>0</v>
      </c>
      <c r="Q35" s="148">
        <v>100</v>
      </c>
      <c r="R35" s="138">
        <f t="shared" si="1"/>
        <v>0</v>
      </c>
      <c r="AV35" s="582"/>
      <c r="AW35" s="574"/>
      <c r="AX35" s="178"/>
      <c r="AY35" s="178"/>
      <c r="AZ35" s="178"/>
      <c r="BA35" s="567"/>
      <c r="BB35" s="578"/>
      <c r="BC35" s="576"/>
      <c r="BD35" s="567"/>
      <c r="BE35" s="587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(IF(Datos!$P$5=B5,VLOOKUP(Datos!P5,B5:C8,2,FALSE)/1000000,IF(Datos!$P$5=B6,VLOOKUP(Datos!P5,B5:C8,2,FALSE)/1000000,IF(Datos!$P$5=B7,VLOOKUP(Datos!P5,B5:C8,2,FALSE)/1000000,IF(Datos!$P$5=B8,VLOOKUP(Datos!P5,B5:C8,2,FALSE)/1000000," Error ")))))/SQRT(3)</f>
        <v>4.0818664031706544E-7</v>
      </c>
      <c r="M36" s="196" t="s">
        <v>200</v>
      </c>
      <c r="N36" s="222">
        <v>1</v>
      </c>
      <c r="O36" s="46">
        <v>1</v>
      </c>
      <c r="P36" s="226">
        <f t="shared" si="0"/>
        <v>4.0818664031706544E-7</v>
      </c>
      <c r="Q36" s="142">
        <v>100</v>
      </c>
      <c r="R36" s="296">
        <f t="shared" si="1"/>
        <v>0.7960595738278804</v>
      </c>
      <c r="AV36" s="569" t="s">
        <v>162</v>
      </c>
      <c r="AW36" s="570"/>
      <c r="AX36" s="570"/>
      <c r="AY36" s="570"/>
      <c r="AZ36" s="570"/>
      <c r="BA36" s="570"/>
      <c r="BB36" s="570"/>
      <c r="BC36" s="571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0</v>
      </c>
      <c r="M37" s="190" t="s">
        <v>200</v>
      </c>
      <c r="N37" s="294">
        <v>1</v>
      </c>
      <c r="O37" s="293">
        <v>1</v>
      </c>
      <c r="P37" s="261">
        <f>L37*N37</f>
        <v>0</v>
      </c>
      <c r="Q37" s="295">
        <f>COUNT(F20:F24)-1</f>
        <v>4</v>
      </c>
      <c r="R37" s="297">
        <f>P37^2/$P$38^2</f>
        <v>0</v>
      </c>
    </row>
    <row r="38" spans="1:57" ht="50.4" x14ac:dyDescent="0.3">
      <c r="A38" s="22"/>
      <c r="B38" s="258"/>
      <c r="C38" s="258"/>
      <c r="F38" s="22"/>
      <c r="G38" s="590" t="s">
        <v>213</v>
      </c>
      <c r="H38" s="591"/>
      <c r="I38" s="591"/>
      <c r="J38" s="591"/>
      <c r="K38" s="591"/>
      <c r="L38" s="591"/>
      <c r="M38" s="591"/>
      <c r="N38" s="592"/>
      <c r="O38" s="60"/>
      <c r="P38" s="263">
        <f>SQRT(SUMSQ(P29:P37))</f>
        <v>4.5749463084348776E-7</v>
      </c>
      <c r="Q38" s="60"/>
      <c r="R38" s="298">
        <f>SUM(R29:R37)</f>
        <v>0.99999999999999978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607" t="s">
        <v>127</v>
      </c>
      <c r="H39" s="608"/>
      <c r="I39" s="608"/>
      <c r="J39" s="608"/>
      <c r="K39" s="608"/>
      <c r="L39" s="608"/>
      <c r="M39" s="608"/>
      <c r="N39" s="608"/>
      <c r="O39" s="151"/>
      <c r="P39" s="152">
        <f>P38^4/((P29^4/Q29)+(P30^4/Q30)+(P31^4/Q31)+(P32^4/Q32)+(P33^4/Q33)+(P34^4/Q34)+(P35^4/Q35)+(P36^4/Q36))</f>
        <v>148.79291152601621</v>
      </c>
      <c r="Q39" s="152"/>
      <c r="R39" s="153"/>
      <c r="AV39" s="134"/>
      <c r="AW39" s="572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609" t="s">
        <v>128</v>
      </c>
      <c r="H40" s="610"/>
      <c r="I40" s="610"/>
      <c r="J40" s="610"/>
      <c r="K40" s="610"/>
      <c r="L40" s="610"/>
      <c r="M40" s="610"/>
      <c r="N40" s="610"/>
      <c r="O40" s="60"/>
      <c r="P40" s="227">
        <f>IF(P39&gt;20,2,HLOOKUP(P39,A44:V45,2))</f>
        <v>2</v>
      </c>
      <c r="Q40" s="154"/>
      <c r="R40" s="154"/>
      <c r="AV40" s="184" t="s">
        <v>164</v>
      </c>
      <c r="AW40" s="573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73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1" t="s">
        <v>166</v>
      </c>
      <c r="AW42" s="573"/>
      <c r="AX42" s="174" t="s">
        <v>135</v>
      </c>
      <c r="AY42" s="174" t="s">
        <v>169</v>
      </c>
      <c r="AZ42" s="174"/>
      <c r="BA42" s="566">
        <f>((MAX(J4:K4)-MIN(J4:K4))/100)/SQRT(24)</f>
        <v>2.6108902297107545E-4</v>
      </c>
      <c r="BB42" s="577" t="str">
        <f>BB41</f>
        <v>%</v>
      </c>
      <c r="BC42" s="575">
        <v>1</v>
      </c>
      <c r="BD42" s="566">
        <f>BA42*BC42</f>
        <v>2.6108902297107545E-4</v>
      </c>
      <c r="BE42" s="586">
        <v>1</v>
      </c>
    </row>
    <row r="43" spans="1:57" ht="13.8" thickBot="1" x14ac:dyDescent="0.3">
      <c r="A43" s="599" t="s">
        <v>40</v>
      </c>
      <c r="B43" s="600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1"/>
      <c r="AV43" s="582"/>
      <c r="AW43" s="574"/>
      <c r="AX43" s="178"/>
      <c r="AY43" s="178"/>
      <c r="AZ43" s="178"/>
      <c r="BA43" s="567"/>
      <c r="BB43" s="578"/>
      <c r="BC43" s="576"/>
      <c r="BD43" s="567"/>
      <c r="BE43" s="587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69" t="s">
        <v>162</v>
      </c>
      <c r="AW44" s="570"/>
      <c r="AX44" s="570"/>
      <c r="AY44" s="570"/>
      <c r="AZ44" s="570"/>
      <c r="BA44" s="570"/>
      <c r="BB44" s="570"/>
      <c r="BC44" s="571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72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73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73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73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74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69" t="s">
        <v>162</v>
      </c>
      <c r="AW52" s="570"/>
      <c r="AX52" s="570"/>
      <c r="AY52" s="570"/>
      <c r="AZ52" s="570"/>
      <c r="BA52" s="570"/>
      <c r="BB52" s="570"/>
      <c r="BC52" s="571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68" t="s">
        <v>203</v>
      </c>
      <c r="AW55" s="568"/>
      <c r="AX55" s="568"/>
      <c r="AY55" s="568"/>
      <c r="AZ55" s="568"/>
      <c r="BA55" s="568"/>
      <c r="BB55" s="568"/>
      <c r="BC55" s="568"/>
      <c r="BD55" s="568"/>
      <c r="BE55" s="56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72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73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73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73"/>
      <c r="AX61" s="174" t="s">
        <v>135</v>
      </c>
      <c r="AY61" s="174" t="s">
        <v>169</v>
      </c>
      <c r="AZ61" s="174"/>
      <c r="BA61" s="566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74"/>
      <c r="AX62" s="178"/>
      <c r="AY62" s="178"/>
      <c r="AZ62" s="178"/>
      <c r="BA62" s="567"/>
      <c r="BB62" s="254"/>
      <c r="BC62" s="252"/>
      <c r="BD62" s="248"/>
      <c r="BE62" s="250"/>
    </row>
    <row r="63" spans="1:57" x14ac:dyDescent="0.25">
      <c r="AV63" s="569" t="s">
        <v>162</v>
      </c>
      <c r="AW63" s="570"/>
      <c r="AX63" s="570"/>
      <c r="AY63" s="570"/>
      <c r="AZ63" s="570"/>
      <c r="BA63" s="570"/>
      <c r="BB63" s="570"/>
      <c r="BC63" s="571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3"/>
      <c r="C79" s="593"/>
      <c r="D79" s="593"/>
      <c r="E79" s="593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8"/>
      <c r="C95" s="588"/>
      <c r="D95" s="588"/>
      <c r="E95" s="588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565"/>
      <c r="C97" s="565"/>
      <c r="D97" s="565"/>
      <c r="E97" s="565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565"/>
      <c r="C103" s="565"/>
      <c r="D103" s="565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583" t="s">
        <v>105</v>
      </c>
      <c r="D139" s="583"/>
      <c r="E139" s="583"/>
      <c r="F139" s="583"/>
      <c r="J139" s="330"/>
      <c r="K139" s="611" t="s">
        <v>0</v>
      </c>
      <c r="L139" s="611"/>
      <c r="M139" s="611"/>
      <c r="N139" s="611"/>
      <c r="O139" s="611"/>
      <c r="P139" s="611"/>
      <c r="Q139" s="611"/>
      <c r="R139" s="611"/>
      <c r="S139" s="611"/>
      <c r="W139" s="579" t="s">
        <v>135</v>
      </c>
      <c r="X139" s="579"/>
      <c r="Y139" s="579"/>
      <c r="Z139" s="579"/>
      <c r="AA139" s="579"/>
      <c r="AB139" s="579"/>
      <c r="AC139" s="579"/>
      <c r="AD139" s="579"/>
      <c r="AE139" s="579"/>
      <c r="AH139" s="579" t="s">
        <v>135</v>
      </c>
      <c r="AI139" s="579"/>
      <c r="AJ139" s="579"/>
      <c r="AK139" s="579"/>
      <c r="AL139" s="579"/>
      <c r="AM139" s="579"/>
      <c r="AN139" s="579"/>
      <c r="AO139" s="579"/>
      <c r="AP139" s="579"/>
      <c r="AS139" s="579" t="s">
        <v>135</v>
      </c>
      <c r="AT139" s="579"/>
      <c r="AU139" s="579"/>
      <c r="AV139" s="579"/>
      <c r="AW139" s="579"/>
      <c r="AX139" s="579"/>
      <c r="AY139" s="579"/>
      <c r="AZ139" s="579"/>
      <c r="BA139" s="579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79"/>
      <c r="X140" s="579"/>
      <c r="Y140" s="579"/>
      <c r="Z140" s="579"/>
      <c r="AA140" s="579"/>
      <c r="AB140" s="579"/>
      <c r="AC140" s="579"/>
      <c r="AD140" s="579"/>
      <c r="AE140" s="579"/>
      <c r="AH140" s="579"/>
      <c r="AI140" s="579"/>
      <c r="AJ140" s="579"/>
      <c r="AK140" s="579"/>
      <c r="AL140" s="579"/>
      <c r="AM140" s="579"/>
      <c r="AN140" s="579"/>
      <c r="AO140" s="579"/>
      <c r="AP140" s="579"/>
      <c r="AS140" s="579"/>
      <c r="AT140" s="579"/>
      <c r="AU140" s="579"/>
      <c r="AV140" s="579"/>
      <c r="AW140" s="579"/>
      <c r="AX140" s="579"/>
      <c r="AY140" s="579"/>
      <c r="AZ140" s="579"/>
      <c r="BA140" s="579"/>
    </row>
    <row r="141" spans="2:53" ht="15.6" x14ac:dyDescent="0.3">
      <c r="B141" s="330"/>
      <c r="C141" s="580" t="s">
        <v>103</v>
      </c>
      <c r="D141" s="580"/>
      <c r="E141" s="580"/>
      <c r="F141" s="580"/>
      <c r="J141" s="330"/>
      <c r="K141" s="580" t="s">
        <v>103</v>
      </c>
      <c r="L141" s="580"/>
      <c r="M141" s="580"/>
      <c r="N141" s="580"/>
      <c r="O141" s="330"/>
      <c r="P141" s="580" t="s">
        <v>103</v>
      </c>
      <c r="Q141" s="580"/>
      <c r="R141" s="580"/>
      <c r="S141" s="580"/>
      <c r="V141" s="330"/>
      <c r="W141" s="580" t="s">
        <v>92</v>
      </c>
      <c r="X141" s="580"/>
      <c r="Y141" s="580"/>
      <c r="Z141" s="580"/>
      <c r="AA141" s="330"/>
      <c r="AB141" s="580" t="s">
        <v>136</v>
      </c>
      <c r="AC141" s="580"/>
      <c r="AD141" s="580"/>
      <c r="AE141" s="580"/>
      <c r="AG141" s="330"/>
      <c r="AH141" s="580" t="s">
        <v>92</v>
      </c>
      <c r="AI141" s="580"/>
      <c r="AJ141" s="580"/>
      <c r="AK141" s="580"/>
      <c r="AL141" s="330"/>
      <c r="AM141" s="580" t="s">
        <v>136</v>
      </c>
      <c r="AN141" s="580"/>
      <c r="AO141" s="580"/>
      <c r="AP141" s="580"/>
      <c r="AR141" s="330"/>
      <c r="AS141" s="580" t="s">
        <v>92</v>
      </c>
      <c r="AT141" s="580"/>
      <c r="AU141" s="580"/>
      <c r="AV141" s="580"/>
      <c r="AW141" s="330"/>
      <c r="AX141" s="580" t="s">
        <v>136</v>
      </c>
      <c r="AY141" s="580"/>
      <c r="AZ141" s="580"/>
      <c r="BA141" s="580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[1]Datos!F26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[1]Datos!N25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[1]Datos!O25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[1]Datos!D26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[1]Datos!E26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80" t="s">
        <v>103</v>
      </c>
      <c r="D147" s="580"/>
      <c r="E147" s="580"/>
      <c r="F147" s="339"/>
      <c r="J147" s="330"/>
      <c r="K147" s="580" t="s">
        <v>27</v>
      </c>
      <c r="L147" s="580"/>
      <c r="M147" s="580"/>
      <c r="N147" s="339"/>
      <c r="O147" s="584" t="s">
        <v>27</v>
      </c>
      <c r="P147" s="584"/>
      <c r="Q147" s="584"/>
      <c r="R147" s="584"/>
      <c r="S147" s="58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80" t="s">
        <v>103</v>
      </c>
      <c r="D158" s="580"/>
      <c r="E158" s="580"/>
      <c r="F158" s="58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84" t="s">
        <v>28</v>
      </c>
      <c r="L159" s="584"/>
      <c r="M159" s="584"/>
      <c r="N159" s="584"/>
      <c r="O159" s="330"/>
      <c r="P159" s="584" t="s">
        <v>28</v>
      </c>
      <c r="Q159" s="584"/>
      <c r="R159" s="584"/>
      <c r="S159" s="58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[1]Datos!F27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80" t="s">
        <v>92</v>
      </c>
      <c r="X161" s="580"/>
      <c r="Y161" s="580"/>
      <c r="Z161" s="580"/>
      <c r="AA161" s="330"/>
      <c r="AB161" s="580" t="s">
        <v>136</v>
      </c>
      <c r="AC161" s="580"/>
      <c r="AD161" s="580"/>
      <c r="AE161" s="580"/>
      <c r="AG161" s="330"/>
      <c r="AH161" s="580" t="s">
        <v>92</v>
      </c>
      <c r="AI161" s="580"/>
      <c r="AJ161" s="580"/>
      <c r="AK161" s="580"/>
      <c r="AL161" s="330"/>
      <c r="AM161" s="580" t="s">
        <v>136</v>
      </c>
      <c r="AN161" s="580"/>
      <c r="AO161" s="580"/>
      <c r="AP161" s="580"/>
      <c r="AR161" s="330"/>
      <c r="AS161" s="580" t="s">
        <v>92</v>
      </c>
      <c r="AT161" s="580"/>
      <c r="AU161" s="580"/>
      <c r="AV161" s="580"/>
      <c r="AW161" s="330"/>
      <c r="AX161" s="580" t="s">
        <v>136</v>
      </c>
      <c r="AY161" s="580"/>
      <c r="AZ161" s="580"/>
      <c r="BA161" s="580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[1]Datos!N26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[1]Datos!O26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80" t="s">
        <v>103</v>
      </c>
      <c r="D164" s="580"/>
      <c r="E164" s="580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[1]Datos!D27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[1]Datos!E27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84" t="s">
        <v>130</v>
      </c>
      <c r="L165" s="584"/>
      <c r="M165" s="584"/>
      <c r="N165" s="584"/>
      <c r="O165" s="330"/>
      <c r="P165" s="584" t="s">
        <v>130</v>
      </c>
      <c r="Q165" s="584"/>
      <c r="R165" s="584"/>
      <c r="S165" s="58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80" t="s">
        <v>131</v>
      </c>
      <c r="L174" s="580"/>
      <c r="M174" s="580"/>
      <c r="N174" s="580"/>
      <c r="O174" s="330"/>
      <c r="P174" s="580" t="s">
        <v>131</v>
      </c>
      <c r="Q174" s="580"/>
      <c r="R174" s="580"/>
      <c r="S174" s="580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80" t="s">
        <v>103</v>
      </c>
      <c r="D175" s="580"/>
      <c r="E175" s="580"/>
      <c r="F175" s="580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[1]Datos!N27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[1]Datos!O27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[1]Datos!F28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80" t="s">
        <v>103</v>
      </c>
      <c r="D181" s="580"/>
      <c r="E181" s="580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80" t="s">
        <v>92</v>
      </c>
      <c r="X181" s="580"/>
      <c r="Y181" s="580"/>
      <c r="Z181" s="580"/>
      <c r="AA181" s="330"/>
      <c r="AB181" s="580" t="s">
        <v>136</v>
      </c>
      <c r="AC181" s="580"/>
      <c r="AD181" s="580"/>
      <c r="AE181" s="580"/>
      <c r="AG181" s="330"/>
      <c r="AH181" s="580" t="s">
        <v>92</v>
      </c>
      <c r="AI181" s="580"/>
      <c r="AJ181" s="580"/>
      <c r="AK181" s="580"/>
      <c r="AL181" s="330"/>
      <c r="AM181" s="580" t="s">
        <v>136</v>
      </c>
      <c r="AN181" s="580"/>
      <c r="AO181" s="580"/>
      <c r="AP181" s="580"/>
      <c r="AR181" s="330"/>
      <c r="AS181" s="580" t="s">
        <v>92</v>
      </c>
      <c r="AT181" s="580"/>
      <c r="AU181" s="580"/>
      <c r="AV181" s="580"/>
      <c r="AW181" s="330"/>
      <c r="AX181" s="580" t="s">
        <v>136</v>
      </c>
      <c r="AY181" s="580"/>
      <c r="AZ181" s="580"/>
      <c r="BA181" s="580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[1]Datos!D28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[1]Datos!E28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80" t="s">
        <v>103</v>
      </c>
      <c r="D192" s="580"/>
      <c r="E192" s="580"/>
      <c r="F192" s="580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[1]Datos!F29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80" t="s">
        <v>103</v>
      </c>
      <c r="D198" s="580"/>
      <c r="E198" s="580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80" t="s">
        <v>92</v>
      </c>
      <c r="X201" s="580"/>
      <c r="Y201" s="580"/>
      <c r="Z201" s="580"/>
      <c r="AA201" s="330"/>
      <c r="AB201" s="580" t="s">
        <v>136</v>
      </c>
      <c r="AC201" s="580"/>
      <c r="AD201" s="580"/>
      <c r="AE201" s="580"/>
      <c r="AG201" s="330"/>
      <c r="AH201" s="580" t="s">
        <v>92</v>
      </c>
      <c r="AI201" s="580"/>
      <c r="AJ201" s="580"/>
      <c r="AK201" s="580"/>
      <c r="AL201" s="330"/>
      <c r="AM201" s="580" t="s">
        <v>136</v>
      </c>
      <c r="AN201" s="580"/>
      <c r="AO201" s="580"/>
      <c r="AP201" s="580"/>
      <c r="AR201" s="330"/>
      <c r="AS201" s="580" t="s">
        <v>92</v>
      </c>
      <c r="AT201" s="580"/>
      <c r="AU201" s="580"/>
      <c r="AV201" s="580"/>
      <c r="AW201" s="330"/>
      <c r="AX201" s="580" t="s">
        <v>136</v>
      </c>
      <c r="AY201" s="580"/>
      <c r="AZ201" s="580"/>
      <c r="BA201" s="580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[1]Datos!D29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[1]Datos!E29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80" t="s">
        <v>103</v>
      </c>
      <c r="D209" s="580"/>
      <c r="E209" s="580"/>
      <c r="F209" s="580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[1]Datos!F30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80" t="s">
        <v>27</v>
      </c>
      <c r="D215" s="580"/>
      <c r="E215" s="580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80" t="s">
        <v>92</v>
      </c>
      <c r="X221" s="580"/>
      <c r="Y221" s="580"/>
      <c r="Z221" s="580"/>
      <c r="AA221" s="330"/>
      <c r="AB221" s="580" t="s">
        <v>136</v>
      </c>
      <c r="AC221" s="580"/>
      <c r="AD221" s="580"/>
      <c r="AE221" s="580"/>
      <c r="AG221" s="330"/>
      <c r="AH221" s="580" t="s">
        <v>92</v>
      </c>
      <c r="AI221" s="580"/>
      <c r="AJ221" s="580"/>
      <c r="AK221" s="580"/>
      <c r="AL221" s="330"/>
      <c r="AM221" s="580" t="s">
        <v>136</v>
      </c>
      <c r="AN221" s="580"/>
      <c r="AO221" s="580"/>
      <c r="AP221" s="580"/>
      <c r="AR221" s="330"/>
      <c r="AS221" s="580" t="s">
        <v>92</v>
      </c>
      <c r="AT221" s="580"/>
      <c r="AU221" s="580"/>
      <c r="AV221" s="580"/>
      <c r="AW221" s="330"/>
      <c r="AX221" s="580" t="s">
        <v>136</v>
      </c>
      <c r="AY221" s="580"/>
      <c r="AZ221" s="580"/>
      <c r="BA221" s="580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[1]Datos!D30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[1]Datos!E30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79" t="s">
        <v>135</v>
      </c>
      <c r="C241" s="579"/>
      <c r="D241" s="579"/>
      <c r="E241" s="579"/>
      <c r="F241" s="579"/>
      <c r="G241" s="579"/>
      <c r="H241" s="579"/>
      <c r="I241" s="579"/>
      <c r="J241" s="579"/>
      <c r="M241" s="579" t="s">
        <v>135</v>
      </c>
      <c r="N241" s="579"/>
      <c r="O241" s="579"/>
      <c r="P241" s="579"/>
      <c r="Q241" s="579"/>
      <c r="R241" s="579"/>
      <c r="S241" s="579"/>
      <c r="T241" s="579"/>
      <c r="U241" s="579"/>
      <c r="X241" s="579" t="s">
        <v>135</v>
      </c>
      <c r="Y241" s="579"/>
      <c r="Z241" s="579"/>
      <c r="AA241" s="579"/>
      <c r="AB241" s="579"/>
      <c r="AC241" s="579"/>
      <c r="AD241" s="579"/>
      <c r="AE241" s="579"/>
      <c r="AF241" s="579"/>
    </row>
    <row r="242" spans="1:32" ht="13.2" customHeight="1" x14ac:dyDescent="0.25">
      <c r="B242" s="579"/>
      <c r="C242" s="579"/>
      <c r="D242" s="579"/>
      <c r="E242" s="579"/>
      <c r="F242" s="579"/>
      <c r="G242" s="579"/>
      <c r="H242" s="579"/>
      <c r="I242" s="579"/>
      <c r="J242" s="579"/>
      <c r="M242" s="579"/>
      <c r="N242" s="579"/>
      <c r="O242" s="579"/>
      <c r="P242" s="579"/>
      <c r="Q242" s="579"/>
      <c r="R242" s="579"/>
      <c r="S242" s="579"/>
      <c r="T242" s="579"/>
      <c r="U242" s="579"/>
      <c r="X242" s="579"/>
      <c r="Y242" s="579"/>
      <c r="Z242" s="579"/>
      <c r="AA242" s="579"/>
      <c r="AB242" s="579"/>
      <c r="AC242" s="579"/>
      <c r="AD242" s="579"/>
      <c r="AE242" s="579"/>
      <c r="AF242" s="579"/>
    </row>
    <row r="243" spans="1:32" ht="15.6" x14ac:dyDescent="0.3">
      <c r="A243" s="330"/>
      <c r="B243" s="580" t="s">
        <v>92</v>
      </c>
      <c r="C243" s="580"/>
      <c r="D243" s="580"/>
      <c r="E243" s="580"/>
      <c r="F243" s="330"/>
      <c r="G243" s="580" t="s">
        <v>136</v>
      </c>
      <c r="H243" s="580"/>
      <c r="I243" s="580"/>
      <c r="J243" s="580"/>
      <c r="L243" s="330"/>
      <c r="M243" s="580" t="s">
        <v>92</v>
      </c>
      <c r="N243" s="580"/>
      <c r="O243" s="580"/>
      <c r="P243" s="580"/>
      <c r="Q243" s="330"/>
      <c r="R243" s="580" t="s">
        <v>136</v>
      </c>
      <c r="S243" s="580"/>
      <c r="T243" s="580"/>
      <c r="U243" s="580"/>
      <c r="W243" s="330"/>
      <c r="X243" s="580" t="s">
        <v>92</v>
      </c>
      <c r="Y243" s="580"/>
      <c r="Z243" s="580"/>
      <c r="AA243" s="580"/>
      <c r="AB243" s="330"/>
      <c r="AC243" s="580" t="s">
        <v>136</v>
      </c>
      <c r="AD243" s="580"/>
      <c r="AE243" s="580"/>
      <c r="AF243" s="580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</v>
      </c>
      <c r="D246" s="338">
        <f>(D247-D245)/(C247-C245)*(C246-C245)+D245</f>
        <v>0</v>
      </c>
      <c r="E246" s="338">
        <f>(E247-E245)/(C247-C245)*(C246-C245)+E245</f>
        <v>1.6000000000000001E-4</v>
      </c>
      <c r="F246" s="330"/>
      <c r="G246" s="335"/>
      <c r="H246" s="337">
        <f>B32</f>
        <v>0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</v>
      </c>
      <c r="O246" s="338">
        <f>(O247-O245)/(N247-N245)*(N246-N245)+O245</f>
        <v>0</v>
      </c>
      <c r="P246" s="338">
        <f>(P247-P245)/(N247-N245)*(N246-N245)+P245</f>
        <v>0.05</v>
      </c>
      <c r="Q246" s="330"/>
      <c r="R246" s="335"/>
      <c r="S246" s="337">
        <f>H246</f>
        <v>0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8545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8545" r:id="rId3"/>
      </mc:Fallback>
    </mc:AlternateContent>
    <mc:AlternateContent xmlns:mc="http://schemas.openxmlformats.org/markup-compatibility/2006">
      <mc:Choice Requires="x14">
        <oleObject progId="Equation.3" shapeId="108546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8546" r:id="rId5"/>
      </mc:Fallback>
    </mc:AlternateContent>
    <mc:AlternateContent xmlns:mc="http://schemas.openxmlformats.org/markup-compatibility/2006">
      <mc:Choice Requires="x14">
        <oleObject progId="Equation.3" shapeId="108547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8547" r:id="rId7"/>
      </mc:Fallback>
    </mc:AlternateContent>
    <mc:AlternateContent xmlns:mc="http://schemas.openxmlformats.org/markup-compatibility/2006">
      <mc:Choice Requires="x14">
        <oleObject progId="Equation.3" shapeId="108548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8548" r:id="rId9"/>
      </mc:Fallback>
    </mc:AlternateContent>
    <mc:AlternateContent xmlns:mc="http://schemas.openxmlformats.org/markup-compatibility/2006">
      <mc:Choice Requires="x14">
        <oleObject progId="Equation.3" shapeId="108549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8549" r:id="rId11"/>
      </mc:Fallback>
    </mc:AlternateContent>
    <mc:AlternateContent xmlns:mc="http://schemas.openxmlformats.org/markup-compatibility/2006">
      <mc:Choice Requires="x14">
        <oleObject progId="Equation.3" shapeId="108551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8551" r:id="rId13"/>
      </mc:Fallback>
    </mc:AlternateContent>
    <mc:AlternateContent xmlns:mc="http://schemas.openxmlformats.org/markup-compatibility/2006">
      <mc:Choice Requires="x14">
        <oleObject progId="Equation.3" shapeId="108552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8552" r:id="rId14"/>
      </mc:Fallback>
    </mc:AlternateContent>
    <mc:AlternateContent xmlns:mc="http://schemas.openxmlformats.org/markup-compatibility/2006">
      <mc:Choice Requires="x14">
        <oleObject progId="Equation.3" shapeId="108554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8554" r:id="rId16"/>
      </mc:Fallback>
    </mc:AlternateContent>
    <mc:AlternateContent xmlns:mc="http://schemas.openxmlformats.org/markup-compatibility/2006">
      <mc:Choice Requires="x14">
        <oleObject progId="Equation.3" shapeId="108555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8555" r:id="rId17"/>
      </mc:Fallback>
    </mc:AlternateContent>
    <mc:AlternateContent xmlns:mc="http://schemas.openxmlformats.org/markup-compatibility/2006">
      <mc:Choice Requires="x14">
        <oleObject progId="Equation.3" shapeId="108556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8556" r:id="rId19"/>
      </mc:Fallback>
    </mc:AlternateContent>
    <mc:AlternateContent xmlns:mc="http://schemas.openxmlformats.org/markup-compatibility/2006">
      <mc:Choice Requires="x14">
        <oleObject progId="Equation.3" shapeId="108557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8557" r:id="rId21"/>
      </mc:Fallback>
    </mc:AlternateContent>
    <mc:AlternateContent xmlns:mc="http://schemas.openxmlformats.org/markup-compatibility/2006">
      <mc:Choice Requires="x14">
        <oleObject progId="Equation.3" shapeId="108558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8558" r:id="rId22"/>
      </mc:Fallback>
    </mc:AlternateContent>
    <mc:AlternateContent xmlns:mc="http://schemas.openxmlformats.org/markup-compatibility/2006">
      <mc:Choice Requires="x14">
        <oleObject progId="Equation.3" shapeId="108559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8559" r:id="rId24"/>
      </mc:Fallback>
    </mc:AlternateContent>
    <mc:AlternateContent xmlns:mc="http://schemas.openxmlformats.org/markup-compatibility/2006">
      <mc:Choice Requires="x14">
        <oleObject progId="Equation.3" shapeId="108560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0" r:id="rId25"/>
      </mc:Fallback>
    </mc:AlternateContent>
    <mc:AlternateContent xmlns:mc="http://schemas.openxmlformats.org/markup-compatibility/2006">
      <mc:Choice Requires="x14">
        <oleObject progId="Equation.3" shapeId="108561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1" r:id="rId26"/>
      </mc:Fallback>
    </mc:AlternateContent>
    <mc:AlternateContent xmlns:mc="http://schemas.openxmlformats.org/markup-compatibility/2006">
      <mc:Choice Requires="x14">
        <oleObject progId="Equation.3" shapeId="108562" r:id="rId27">
          <objectPr defaultSize="0" autoPict="0" r:id="rId28">
            <anchor moveWithCells="1" sizeWithCells="1">
              <from>
                <xdr:col>0</xdr:col>
                <xdr:colOff>457200</xdr:colOff>
                <xdr:row>9</xdr:row>
                <xdr:rowOff>53340</xdr:rowOff>
              </from>
              <to>
                <xdr:col>2</xdr:col>
                <xdr:colOff>99060</xdr:colOff>
                <xdr:row>12</xdr:row>
                <xdr:rowOff>228600</xdr:rowOff>
              </to>
            </anchor>
          </objectPr>
        </oleObject>
      </mc:Choice>
      <mc:Fallback>
        <oleObject progId="Equation.3" shapeId="108562" r:id="rId27"/>
      </mc:Fallback>
    </mc:AlternateContent>
    <mc:AlternateContent xmlns:mc="http://schemas.openxmlformats.org/markup-compatibility/2006">
      <mc:Choice Requires="x14">
        <oleObject progId="Equation.3" shapeId="108563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3" r:id="rId29"/>
      </mc:Fallback>
    </mc:AlternateContent>
    <mc:AlternateContent xmlns:mc="http://schemas.openxmlformats.org/markup-compatibility/2006">
      <mc:Choice Requires="x14">
        <oleObject progId="Equation.3" shapeId="108564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8564" r:id="rId30"/>
      </mc:Fallback>
    </mc:AlternateContent>
    <mc:AlternateContent xmlns:mc="http://schemas.openxmlformats.org/markup-compatibility/2006">
      <mc:Choice Requires="x14">
        <oleObject progId="Equation.3" shapeId="108565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5" r:id="rId32"/>
      </mc:Fallback>
    </mc:AlternateContent>
    <mc:AlternateContent xmlns:mc="http://schemas.openxmlformats.org/markup-compatibility/2006">
      <mc:Choice Requires="x14">
        <oleObject progId="Equation.3" shapeId="108566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6" r:id="rId33"/>
      </mc:Fallback>
    </mc:AlternateContent>
    <mc:AlternateContent xmlns:mc="http://schemas.openxmlformats.org/markup-compatibility/2006">
      <mc:Choice Requires="x14">
        <oleObject progId="Equation.3" shapeId="108567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67" r:id="rId34"/>
      </mc:Fallback>
    </mc:AlternateContent>
    <mc:AlternateContent xmlns:mc="http://schemas.openxmlformats.org/markup-compatibility/2006">
      <mc:Choice Requires="x14">
        <oleObject progId="Equation.3" shapeId="108568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8" r:id="rId35"/>
      </mc:Fallback>
    </mc:AlternateContent>
    <mc:AlternateContent xmlns:mc="http://schemas.openxmlformats.org/markup-compatibility/2006">
      <mc:Choice Requires="x14">
        <oleObject progId="Equation.3" shapeId="108569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8569" r:id="rId36"/>
      </mc:Fallback>
    </mc:AlternateContent>
    <mc:AlternateContent xmlns:mc="http://schemas.openxmlformats.org/markup-compatibility/2006">
      <mc:Choice Requires="x14">
        <oleObject progId="Equation.3" shapeId="108570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70" r:id="rId3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D4D7-AB17-498A-9D35-4B49ECCA8E2A}">
  <dimension ref="A1:BE260"/>
  <sheetViews>
    <sheetView zoomScale="90" zoomScaleNormal="90" workbookViewId="0">
      <selection activeCell="E9" sqref="E9"/>
    </sheetView>
  </sheetViews>
  <sheetFormatPr baseColWidth="10" defaultRowHeight="13.2" x14ac:dyDescent="0.25"/>
  <cols>
    <col min="1" max="1" width="17.6640625" customWidth="1"/>
    <col min="2" max="2" width="12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85"/>
      <c r="B1" s="285"/>
      <c r="C1" s="285"/>
      <c r="D1" s="285"/>
      <c r="E1" s="285"/>
      <c r="G1" s="26" t="s">
        <v>0</v>
      </c>
      <c r="H1" s="27"/>
      <c r="I1" s="27"/>
      <c r="J1" s="28" t="s">
        <v>21</v>
      </c>
      <c r="K1" s="31" t="s">
        <v>22</v>
      </c>
      <c r="L1" s="72" t="s">
        <v>24</v>
      </c>
      <c r="AI1" s="594" t="s">
        <v>47</v>
      </c>
      <c r="AJ1" s="594"/>
      <c r="AK1" s="594"/>
      <c r="AL1" s="594"/>
      <c r="AN1" s="594" t="s">
        <v>48</v>
      </c>
      <c r="AO1" s="594"/>
      <c r="AP1" s="594"/>
      <c r="AQ1" s="594"/>
      <c r="AV1" s="585" t="s">
        <v>14</v>
      </c>
      <c r="AW1" s="585"/>
      <c r="AX1" s="585"/>
      <c r="AY1" s="585"/>
      <c r="AZ1" s="585"/>
      <c r="BA1" s="585"/>
    </row>
    <row r="2" spans="1:57" s="7" customFormat="1" ht="18.600000000000001" thickTop="1" x14ac:dyDescent="0.3">
      <c r="A2" s="124"/>
      <c r="B2" s="286"/>
      <c r="C2" s="287"/>
      <c r="D2" s="202"/>
      <c r="E2" s="237"/>
      <c r="G2" s="74" t="s">
        <v>65</v>
      </c>
      <c r="H2" s="75"/>
      <c r="I2" s="10"/>
      <c r="J2" s="602">
        <f>AO14</f>
        <v>4.1721998668247425E-5</v>
      </c>
      <c r="K2" s="603"/>
      <c r="L2" s="73"/>
      <c r="M2" s="257" t="s">
        <v>133</v>
      </c>
      <c r="W2" s="7" t="s">
        <v>30</v>
      </c>
    </row>
    <row r="3" spans="1:57" s="7" customFormat="1" ht="22.8" x14ac:dyDescent="0.4">
      <c r="A3" s="312"/>
      <c r="B3" s="623" t="s">
        <v>227</v>
      </c>
      <c r="C3" s="623"/>
      <c r="D3" s="310"/>
      <c r="E3" s="309"/>
      <c r="G3" s="619" t="s">
        <v>1</v>
      </c>
      <c r="H3" s="620"/>
      <c r="I3" s="10"/>
      <c r="J3" s="30">
        <f>Datos!N69-M144</f>
        <v>-8.8060836501901149E-2</v>
      </c>
      <c r="K3" s="30">
        <f>Datos!O69-R144</f>
        <v>-8.6539923954372627E-2</v>
      </c>
      <c r="L3" s="67">
        <f>Datos!P69</f>
        <v>0</v>
      </c>
      <c r="M3" s="156">
        <f>AVERAGE(J3:K3)</f>
        <v>-8.7300380228136881E-2</v>
      </c>
      <c r="W3" s="7" t="s">
        <v>31</v>
      </c>
      <c r="AV3" s="568" t="s">
        <v>172</v>
      </c>
      <c r="AW3" s="568"/>
      <c r="AX3" s="568"/>
      <c r="AY3" s="568"/>
      <c r="AZ3" s="568"/>
      <c r="BA3" s="568"/>
      <c r="BB3" s="568"/>
      <c r="BC3" s="568"/>
      <c r="BD3" s="568"/>
      <c r="BE3" s="568"/>
    </row>
    <row r="4" spans="1:57" s="7" customFormat="1" ht="50.4" x14ac:dyDescent="0.3">
      <c r="A4" s="313"/>
      <c r="B4" s="308" t="s">
        <v>226</v>
      </c>
      <c r="C4" s="301" t="s">
        <v>225</v>
      </c>
      <c r="D4" s="305"/>
      <c r="E4" s="306"/>
      <c r="G4" s="621" t="s">
        <v>12</v>
      </c>
      <c r="H4" s="622"/>
      <c r="I4" s="29"/>
      <c r="J4" s="30">
        <f>Datos!N70-M162</f>
        <v>0.61162790697674441</v>
      </c>
      <c r="K4" s="30">
        <f>Datos!O70-R162</f>
        <v>0.48372093023255824</v>
      </c>
      <c r="L4" s="67">
        <f>Datos!P70</f>
        <v>0</v>
      </c>
      <c r="M4" s="156">
        <f>AVERAGE(J4:K4)</f>
        <v>0.54767441860465138</v>
      </c>
      <c r="W4" s="7" t="s">
        <v>32</v>
      </c>
      <c r="AV4" s="134" t="s">
        <v>152</v>
      </c>
      <c r="AW4" s="134" t="s">
        <v>153</v>
      </c>
      <c r="AX4" s="134" t="s">
        <v>154</v>
      </c>
      <c r="AY4" s="134" t="s">
        <v>155</v>
      </c>
      <c r="AZ4" s="134" t="s">
        <v>156</v>
      </c>
      <c r="BA4" s="134" t="s">
        <v>157</v>
      </c>
      <c r="BB4" s="134" t="s">
        <v>158</v>
      </c>
      <c r="BC4" s="134" t="s">
        <v>159</v>
      </c>
      <c r="BD4" s="134" t="s">
        <v>160</v>
      </c>
      <c r="BE4" s="134" t="s">
        <v>114</v>
      </c>
    </row>
    <row r="5" spans="1:57" s="7" customFormat="1" ht="16.5" customHeight="1" x14ac:dyDescent="0.3">
      <c r="A5" s="314">
        <v>1</v>
      </c>
      <c r="B5" s="301" t="s">
        <v>221</v>
      </c>
      <c r="C5" s="304">
        <v>0.02</v>
      </c>
      <c r="D5" s="305"/>
      <c r="E5" s="307"/>
      <c r="G5" s="617" t="s">
        <v>23</v>
      </c>
      <c r="H5" s="618"/>
      <c r="I5" s="18"/>
      <c r="J5" s="30">
        <f>Datos!N71-M177</f>
        <v>0</v>
      </c>
      <c r="K5" s="30">
        <f>Datos!O71-R177</f>
        <v>0</v>
      </c>
      <c r="L5" s="67">
        <f>Datos!P71</f>
        <v>0</v>
      </c>
      <c r="M5" s="156">
        <f>AVERAGE(J5:K5)</f>
        <v>0</v>
      </c>
      <c r="N5" s="24"/>
      <c r="O5" s="24"/>
      <c r="P5" s="24"/>
      <c r="Q5" s="24"/>
      <c r="R5" s="24"/>
      <c r="W5" s="7" t="s">
        <v>33</v>
      </c>
      <c r="AV5" s="134"/>
      <c r="AW5" s="572" t="s">
        <v>163</v>
      </c>
      <c r="AX5" s="134"/>
      <c r="AY5" s="134"/>
      <c r="AZ5" s="134"/>
      <c r="BA5" s="134"/>
      <c r="BB5" s="134"/>
      <c r="BC5" s="134"/>
      <c r="BD5" s="134"/>
      <c r="BE5" s="134"/>
    </row>
    <row r="6" spans="1:57" s="7" customFormat="1" ht="19.2" x14ac:dyDescent="0.4">
      <c r="A6" s="314">
        <v>2</v>
      </c>
      <c r="B6" s="302" t="s">
        <v>222</v>
      </c>
      <c r="C6" s="304">
        <v>7.8E-2</v>
      </c>
      <c r="D6" s="199"/>
      <c r="E6" s="245"/>
      <c r="M6" s="24"/>
      <c r="N6" s="24"/>
      <c r="O6" s="24"/>
      <c r="P6" s="24"/>
      <c r="Q6" s="24"/>
      <c r="R6" s="24"/>
      <c r="W6" s="7" t="s">
        <v>34</v>
      </c>
      <c r="AI6" s="22" t="s">
        <v>66</v>
      </c>
      <c r="AJ6" s="57">
        <v>-4.6119999999999998E-3</v>
      </c>
      <c r="AK6" s="22" t="s">
        <v>55</v>
      </c>
      <c r="AN6" s="22" t="s">
        <v>45</v>
      </c>
      <c r="AO6" s="604" t="s">
        <v>44</v>
      </c>
      <c r="AP6" s="604"/>
      <c r="AV6" s="184" t="s">
        <v>164</v>
      </c>
      <c r="AW6" s="573"/>
      <c r="AX6" s="183" t="s">
        <v>167</v>
      </c>
      <c r="AY6" s="162" t="s">
        <v>161</v>
      </c>
      <c r="AZ6" s="163"/>
      <c r="BA6" s="164">
        <f>IF(Datos!N5=Datos!$S$8,MAX(E245:E247)/1000000,IF(Datos!N5=Datos!$S$9,MAX(P245:P247)/1000,IF(Datos!N5=Datos!$S$10,MAX(AF245:AF247))))</f>
        <v>2.0000000000000001E-4</v>
      </c>
      <c r="BB6" s="165" t="s">
        <v>9</v>
      </c>
      <c r="BC6" s="185">
        <v>1</v>
      </c>
      <c r="BD6" s="166">
        <f>BA6*BC6</f>
        <v>2.0000000000000001E-4</v>
      </c>
      <c r="BE6" s="167">
        <v>100</v>
      </c>
    </row>
    <row r="7" spans="1:57" s="7" customFormat="1" ht="15" customHeight="1" x14ac:dyDescent="0.4">
      <c r="A7" s="314">
        <v>3</v>
      </c>
      <c r="B7" s="303" t="s">
        <v>223</v>
      </c>
      <c r="C7" s="304">
        <v>0.314</v>
      </c>
      <c r="D7" s="206"/>
      <c r="E7" s="233"/>
      <c r="H7" s="199"/>
      <c r="I7" s="286"/>
      <c r="J7" s="287"/>
      <c r="K7" s="202"/>
      <c r="M7" s="24"/>
      <c r="N7" s="24"/>
      <c r="O7" s="24"/>
      <c r="P7" s="24"/>
      <c r="Q7" s="24"/>
      <c r="R7" s="24"/>
      <c r="W7" s="7" t="s">
        <v>35</v>
      </c>
      <c r="AI7" s="22" t="s">
        <v>67</v>
      </c>
      <c r="AJ7" s="71">
        <v>1.06E-4</v>
      </c>
      <c r="AK7" s="22" t="s">
        <v>56</v>
      </c>
      <c r="AN7" s="22" t="s">
        <v>49</v>
      </c>
      <c r="AO7" s="22">
        <v>101325</v>
      </c>
      <c r="AP7" s="22" t="s">
        <v>19</v>
      </c>
      <c r="AV7" s="168" t="s">
        <v>165</v>
      </c>
      <c r="AW7" s="573"/>
      <c r="AX7" s="169" t="s">
        <v>136</v>
      </c>
      <c r="AY7" s="169" t="s">
        <v>168</v>
      </c>
      <c r="AZ7" s="169"/>
      <c r="BA7" s="170">
        <f>IF(Datos!N5=Datos!$S$8,(Datos!I12/1000000)*SQRT(12),IF(Datos!N5=Datos!$S$9,(Datos!I12/1000)/SQRT(12),IF(Datos!N5=Datos!$S$10,Datos!I12/SQRT(12))))</f>
        <v>2.8867513459481293E-5</v>
      </c>
      <c r="BB7" s="171" t="str">
        <f>BB6</f>
        <v>kg</v>
      </c>
      <c r="BC7" s="186">
        <v>1</v>
      </c>
      <c r="BD7" s="172">
        <f>BA7*BC7</f>
        <v>2.8867513459481293E-5</v>
      </c>
      <c r="BE7" s="173">
        <v>100</v>
      </c>
    </row>
    <row r="8" spans="1:57" s="7" customFormat="1" ht="42.75" customHeight="1" x14ac:dyDescent="0.4">
      <c r="A8" s="315">
        <v>4</v>
      </c>
      <c r="B8" s="300" t="s">
        <v>224</v>
      </c>
      <c r="C8" s="311">
        <v>0.70699999999999996</v>
      </c>
      <c r="D8" s="202"/>
      <c r="E8" s="234"/>
      <c r="F8" s="286"/>
      <c r="G8" s="287"/>
      <c r="H8" s="202"/>
      <c r="I8" s="203"/>
      <c r="J8" s="199"/>
      <c r="K8" s="288"/>
      <c r="M8" s="24"/>
      <c r="N8" s="24"/>
      <c r="O8" s="24"/>
      <c r="P8" s="24"/>
      <c r="AN8" s="22" t="s">
        <v>50</v>
      </c>
      <c r="AO8" s="22">
        <v>5.0749999999999999E-11</v>
      </c>
      <c r="AP8" s="56" t="s">
        <v>51</v>
      </c>
      <c r="AV8" s="255" t="s">
        <v>166</v>
      </c>
      <c r="AW8" s="573"/>
      <c r="AX8" s="174"/>
      <c r="AY8" s="174"/>
      <c r="AZ8" s="174"/>
      <c r="BA8" s="247"/>
      <c r="BB8" s="253"/>
      <c r="BC8" s="251"/>
      <c r="BD8" s="247"/>
      <c r="BE8" s="249"/>
    </row>
    <row r="9" spans="1:57" s="7" customFormat="1" ht="18" customHeight="1" x14ac:dyDescent="0.45">
      <c r="A9" s="127"/>
      <c r="B9" s="290"/>
      <c r="C9" s="209"/>
      <c r="D9" s="291"/>
      <c r="F9" s="203"/>
      <c r="G9" s="199"/>
      <c r="H9" s="288"/>
      <c r="I9" s="199"/>
      <c r="J9" s="289"/>
      <c r="K9" s="288"/>
      <c r="M9" s="24"/>
      <c r="N9" s="24"/>
      <c r="O9" s="24">
        <f>((-999.85308/B35)+0.0632693+(-0.008523829*B35)+(0.00006943248*B35^2)+(0.0000003821216*B35^3))</f>
        <v>-269823.75900119514</v>
      </c>
      <c r="P9" s="24"/>
      <c r="AC9" s="58" t="s">
        <v>57</v>
      </c>
      <c r="AD9" s="22">
        <v>-3.9830350000000001</v>
      </c>
      <c r="AE9" s="22" t="s">
        <v>58</v>
      </c>
      <c r="AN9" s="22" t="s">
        <v>52</v>
      </c>
      <c r="AO9" s="22">
        <v>-3.2599999999999998E-12</v>
      </c>
      <c r="AP9" s="56" t="s">
        <v>53</v>
      </c>
      <c r="AV9" s="256"/>
      <c r="AW9" s="574"/>
      <c r="AX9" s="178"/>
      <c r="AY9" s="178"/>
      <c r="AZ9" s="178"/>
      <c r="BA9" s="248"/>
      <c r="BB9" s="254"/>
      <c r="BC9" s="252"/>
      <c r="BD9" s="248"/>
      <c r="BE9" s="250"/>
    </row>
    <row r="10" spans="1:57" s="7" customFormat="1" ht="15.75" customHeight="1" x14ac:dyDescent="0.4">
      <c r="A10" s="127"/>
      <c r="B10" s="290"/>
      <c r="C10" s="209"/>
      <c r="D10" s="291"/>
      <c r="F10" s="199"/>
      <c r="G10" s="289"/>
      <c r="H10" s="288"/>
      <c r="I10" s="203"/>
      <c r="J10" s="199"/>
      <c r="K10" s="288"/>
      <c r="AC10" s="22" t="s">
        <v>59</v>
      </c>
      <c r="AD10" s="22">
        <v>301.79700000000003</v>
      </c>
      <c r="AE10" s="22" t="s">
        <v>58</v>
      </c>
      <c r="AN10" s="22" t="s">
        <v>54</v>
      </c>
      <c r="AO10" s="22">
        <v>4.1600000000000001E-14</v>
      </c>
      <c r="AP10" s="68" t="s">
        <v>71</v>
      </c>
      <c r="AV10" s="569" t="s">
        <v>162</v>
      </c>
      <c r="AW10" s="570"/>
      <c r="AX10" s="570"/>
      <c r="AY10" s="570"/>
      <c r="AZ10" s="570"/>
      <c r="BA10" s="570"/>
      <c r="BB10" s="570"/>
      <c r="BC10" s="571"/>
      <c r="BD10" s="265">
        <f>SQRT(SUMSQ(BD6:BD7))</f>
        <v>2.0207259421636903E-4</v>
      </c>
      <c r="BE10" s="182">
        <f>BD10^4/((BD6^4/BE6)+(BD7^4/BE7))</f>
        <v>104.16485900216924</v>
      </c>
    </row>
    <row r="11" spans="1:57" s="7" customFormat="1" ht="19.2" x14ac:dyDescent="0.4">
      <c r="A11" s="127"/>
      <c r="B11" s="290"/>
      <c r="C11" s="209"/>
      <c r="D11" s="291"/>
      <c r="F11" s="203"/>
      <c r="G11" s="199"/>
      <c r="H11" s="288"/>
      <c r="I11" s="199"/>
      <c r="J11" s="199"/>
      <c r="K11" s="199"/>
      <c r="N11" s="606" t="s">
        <v>36</v>
      </c>
      <c r="O11" s="606"/>
      <c r="P11" s="595" t="s">
        <v>36</v>
      </c>
      <c r="Q11" s="595"/>
      <c r="R11" s="596" t="s">
        <v>36</v>
      </c>
      <c r="S11" s="596"/>
      <c r="T11" s="597" t="s">
        <v>36</v>
      </c>
      <c r="U11" s="597"/>
      <c r="V11" s="598" t="s">
        <v>36</v>
      </c>
      <c r="W11" s="598"/>
      <c r="AC11" s="22" t="s">
        <v>60</v>
      </c>
      <c r="AD11" s="22">
        <v>522528.9</v>
      </c>
      <c r="AE11" s="22" t="s">
        <v>61</v>
      </c>
    </row>
    <row r="12" spans="1:57" s="7" customFormat="1" ht="19.2" x14ac:dyDescent="0.4">
      <c r="A12" s="127"/>
      <c r="B12" s="290"/>
      <c r="C12" s="209"/>
      <c r="D12" s="291"/>
      <c r="F12" s="16"/>
      <c r="G12" s="16"/>
      <c r="H12" s="199"/>
      <c r="I12" s="565"/>
      <c r="J12" s="565"/>
      <c r="K12" s="206"/>
      <c r="N12" s="36">
        <v>999.85307999999998</v>
      </c>
      <c r="O12" s="37">
        <f>(N12*$D$20^0)</f>
        <v>999.85307999999998</v>
      </c>
      <c r="P12" s="36">
        <v>999.85307999999998</v>
      </c>
      <c r="Q12" s="37">
        <f>(P12*$D$21^0)</f>
        <v>999.85307999999998</v>
      </c>
      <c r="R12" s="36">
        <v>999.85307999999998</v>
      </c>
      <c r="S12" s="37">
        <f>(R12*$D$22^0)</f>
        <v>999.85307999999998</v>
      </c>
      <c r="T12" s="36">
        <v>999.85307999999998</v>
      </c>
      <c r="U12" s="37">
        <f>(T12*$D$23^0)</f>
        <v>999.85307999999998</v>
      </c>
      <c r="V12" s="32">
        <v>999.85307999999998</v>
      </c>
      <c r="W12" s="33">
        <f>(V12*$D$24^0)</f>
        <v>999.85307999999998</v>
      </c>
      <c r="AC12" s="22" t="s">
        <v>62</v>
      </c>
      <c r="AD12" s="22">
        <v>69.34881</v>
      </c>
      <c r="AE12" s="22" t="s">
        <v>58</v>
      </c>
      <c r="AV12" s="568" t="s">
        <v>173</v>
      </c>
      <c r="AW12" s="568"/>
      <c r="AX12" s="568"/>
      <c r="AY12" s="568"/>
      <c r="AZ12" s="568"/>
      <c r="BA12" s="568"/>
      <c r="BB12" s="568"/>
      <c r="BC12" s="568"/>
      <c r="BD12" s="568"/>
      <c r="BE12" s="568"/>
    </row>
    <row r="13" spans="1:57" s="7" customFormat="1" ht="27" customHeight="1" x14ac:dyDescent="0.4">
      <c r="A13" s="92"/>
      <c r="B13" s="92"/>
      <c r="C13" s="92"/>
      <c r="D13" s="235"/>
      <c r="E13" s="92"/>
      <c r="F13" s="15"/>
      <c r="G13" s="17"/>
      <c r="H13" s="207"/>
      <c r="I13" s="202"/>
      <c r="J13" s="202"/>
      <c r="K13" s="202"/>
      <c r="N13" s="38">
        <v>6.3269300000000001E-2</v>
      </c>
      <c r="O13" s="37">
        <f>(N13*$D$20^1)</f>
        <v>2.3446947261093171E-4</v>
      </c>
      <c r="P13" s="38">
        <v>6.3269300000000001E-2</v>
      </c>
      <c r="Q13" s="37">
        <f>(P13*$D$21^1)</f>
        <v>2.3443163664633418E-4</v>
      </c>
      <c r="R13" s="38">
        <v>6.3269300000000001E-2</v>
      </c>
      <c r="S13" s="37">
        <f>(R13*$D$22^1)</f>
        <v>2.3443163664633418E-4</v>
      </c>
      <c r="T13" s="38">
        <v>6.3269300000000001E-2</v>
      </c>
      <c r="U13" s="37">
        <f>(T13*$D$23^1)</f>
        <v>2.344543382250927E-4</v>
      </c>
      <c r="V13" s="34">
        <v>6.3269300000000001E-2</v>
      </c>
      <c r="W13" s="33">
        <f>(V13*$D$24^1)</f>
        <v>2.3445938302037235E-4</v>
      </c>
      <c r="AC13" s="22" t="s">
        <v>63</v>
      </c>
      <c r="AD13" s="22">
        <v>999.97199999999998</v>
      </c>
      <c r="AE13" s="22" t="s">
        <v>55</v>
      </c>
      <c r="AV13" s="134" t="s">
        <v>152</v>
      </c>
      <c r="AW13" s="134" t="s">
        <v>153</v>
      </c>
      <c r="AX13" s="134" t="s">
        <v>154</v>
      </c>
      <c r="AY13" s="134" t="s">
        <v>155</v>
      </c>
      <c r="AZ13" s="134" t="s">
        <v>156</v>
      </c>
      <c r="BA13" s="134" t="s">
        <v>157</v>
      </c>
      <c r="BB13" s="134" t="s">
        <v>158</v>
      </c>
      <c r="BC13" s="134" t="s">
        <v>159</v>
      </c>
      <c r="BD13" s="134" t="s">
        <v>160</v>
      </c>
      <c r="BE13" s="134" t="s">
        <v>114</v>
      </c>
    </row>
    <row r="14" spans="1:57" s="7" customFormat="1" ht="19.5" customHeight="1" x14ac:dyDescent="0.35">
      <c r="A14" s="92"/>
      <c r="B14" s="92"/>
      <c r="C14" s="92"/>
      <c r="D14" s="259"/>
      <c r="E14" s="92"/>
      <c r="G14" s="12"/>
      <c r="H14" s="208"/>
      <c r="I14" s="290"/>
      <c r="J14" s="209"/>
      <c r="K14" s="291"/>
      <c r="N14" s="39">
        <v>-8.5238290000000001E-3</v>
      </c>
      <c r="O14" s="37">
        <f>(N14*$D$20^2)</f>
        <v>-1.1706344017004593E-7</v>
      </c>
      <c r="P14" s="39">
        <v>-8.5238290000000001E-3</v>
      </c>
      <c r="Q14" s="37">
        <f>(P14*$D$21^2)</f>
        <v>-1.170256625373205E-7</v>
      </c>
      <c r="R14" s="39">
        <v>-8.5238290000000001E-3</v>
      </c>
      <c r="S14" s="37">
        <f>(R14*$D$22^2)</f>
        <v>-1.170256625373205E-7</v>
      </c>
      <c r="T14" s="39">
        <v>-8.5238290000000001E-3</v>
      </c>
      <c r="U14" s="37">
        <f>(T14*$D$23^2)</f>
        <v>-1.1704832838536276E-7</v>
      </c>
      <c r="V14" s="35">
        <v>-8.5238290000000001E-3</v>
      </c>
      <c r="W14" s="33">
        <f>(V14*$D$24^2)</f>
        <v>-1.1705336553853967E-7</v>
      </c>
      <c r="AO14" s="155">
        <f>((0.348444*(M5/100))-(M4*(0.00252*M3-0.020582)))/(273.15+M3)</f>
        <v>4.1721998668247425E-5</v>
      </c>
      <c r="AP14" s="155" t="s">
        <v>20</v>
      </c>
      <c r="AV14" s="134"/>
      <c r="AW14" s="572" t="s">
        <v>174</v>
      </c>
      <c r="AX14" s="134"/>
      <c r="AY14" s="134"/>
      <c r="AZ14" s="134"/>
      <c r="BA14" s="134"/>
      <c r="BB14" s="134"/>
      <c r="BC14" s="134"/>
      <c r="BD14" s="134"/>
      <c r="BE14" s="134"/>
    </row>
    <row r="15" spans="1:57" s="7" customFormat="1" ht="19.2" x14ac:dyDescent="0.3">
      <c r="A15" s="92"/>
      <c r="B15" s="244"/>
      <c r="C15" s="243"/>
      <c r="D15" s="92"/>
      <c r="E15" s="92"/>
      <c r="H15" s="208"/>
      <c r="I15" s="290"/>
      <c r="J15" s="209"/>
      <c r="K15" s="291"/>
      <c r="N15" s="39">
        <v>6.9432480000000002E-5</v>
      </c>
      <c r="O15" s="37">
        <f>(N15*$D$20^3)</f>
        <v>3.5338044141175693E-12</v>
      </c>
      <c r="P15" s="39">
        <v>6.9432480000000002E-5</v>
      </c>
      <c r="Q15" s="37">
        <f>(P15*$D$21^3)</f>
        <v>3.5320939570252292E-12</v>
      </c>
      <c r="R15" s="39">
        <v>6.9432480000000002E-5</v>
      </c>
      <c r="S15" s="37">
        <f>(R15*$D$22^3)</f>
        <v>3.5320939570252292E-12</v>
      </c>
      <c r="T15" s="39">
        <v>6.9432480000000002E-5</v>
      </c>
      <c r="U15" s="37">
        <f>(T15*$D$23^3)</f>
        <v>3.5331201650316358E-12</v>
      </c>
      <c r="V15" s="35">
        <v>6.9432480000000002E-5</v>
      </c>
      <c r="W15" s="33">
        <f>(V15*$D$24^3)</f>
        <v>3.5333482382452266E-12</v>
      </c>
      <c r="AV15" s="184" t="s">
        <v>164</v>
      </c>
      <c r="AW15" s="573"/>
      <c r="AX15" s="183" t="s">
        <v>167</v>
      </c>
      <c r="AY15" s="162" t="s">
        <v>161</v>
      </c>
      <c r="AZ15" s="163"/>
      <c r="BA15" s="164">
        <f>IF(Datos!N5=Datos!$S$8,MAX(J245:J247)/1000000,IF(Datos!N5=Datos!$S$9,MAX(U245:U247)/1000,IF(Datos!N5=Datos!$S$10,MAX(AF245:AF247))))</f>
        <v>0</v>
      </c>
      <c r="BB15" s="165" t="s">
        <v>9</v>
      </c>
      <c r="BC15" s="185">
        <v>1</v>
      </c>
      <c r="BD15" s="166">
        <f>BA15*BC15</f>
        <v>0</v>
      </c>
      <c r="BE15" s="167">
        <v>100</v>
      </c>
    </row>
    <row r="16" spans="1:57" ht="19.8" thickBot="1" x14ac:dyDescent="0.35">
      <c r="A16" s="8"/>
      <c r="B16" s="246"/>
      <c r="C16" s="243"/>
      <c r="D16" s="258"/>
      <c r="E16" s="237"/>
      <c r="F16" s="7"/>
      <c r="G16" s="7"/>
      <c r="H16" s="208"/>
      <c r="I16" s="290"/>
      <c r="J16" s="209"/>
      <c r="K16" s="291"/>
      <c r="M16" s="20"/>
      <c r="N16" s="39">
        <v>-3.8212160000000002E-7</v>
      </c>
      <c r="O16" s="37">
        <f>(N16*$D$20^4)</f>
        <v>-7.2073347846404903E-17</v>
      </c>
      <c r="P16" s="39">
        <v>-3.8212160000000002E-7</v>
      </c>
      <c r="Q16" s="37">
        <f>(P16*$D$21^4)</f>
        <v>-7.2026837661359624E-17</v>
      </c>
      <c r="R16" s="39">
        <v>-3.8212160000000002E-7</v>
      </c>
      <c r="S16" s="37">
        <f>(R16*$D$22^4)</f>
        <v>-7.2026837661359624E-17</v>
      </c>
      <c r="T16" s="39">
        <v>-3.8212160000000002E-7</v>
      </c>
      <c r="U16" s="37">
        <f>(T16*$D$23^4)</f>
        <v>-7.2054741070240951E-17</v>
      </c>
      <c r="V16" s="35">
        <v>-3.8212160000000002E-7</v>
      </c>
      <c r="W16" s="33">
        <f>(V16*$D$24^4)</f>
        <v>-7.2060942928612766E-17</v>
      </c>
      <c r="AV16" s="168" t="s">
        <v>165</v>
      </c>
      <c r="AW16" s="573"/>
      <c r="AX16" s="169" t="s">
        <v>136</v>
      </c>
      <c r="AY16" s="169" t="s">
        <v>168</v>
      </c>
      <c r="AZ16" s="169"/>
      <c r="BA16" s="170">
        <f>BA7</f>
        <v>2.8867513459481293E-5</v>
      </c>
      <c r="BB16" s="171" t="str">
        <f>BB15</f>
        <v>kg</v>
      </c>
      <c r="BC16" s="186">
        <v>1</v>
      </c>
      <c r="BD16" s="172">
        <f>BA16*BC16</f>
        <v>2.8867513459481293E-5</v>
      </c>
      <c r="BE16" s="173">
        <v>100</v>
      </c>
    </row>
    <row r="17" spans="1:57" ht="29.4" thickTop="1" x14ac:dyDescent="0.3">
      <c r="A17" s="612" t="s">
        <v>2</v>
      </c>
      <c r="B17" s="1" t="s">
        <v>16</v>
      </c>
      <c r="C17" s="2"/>
      <c r="D17" s="13" t="s">
        <v>3</v>
      </c>
      <c r="E17" s="3" t="s">
        <v>4</v>
      </c>
      <c r="F17" s="615" t="s">
        <v>5</v>
      </c>
      <c r="G17" s="616"/>
      <c r="H17" s="208"/>
      <c r="I17" s="290"/>
      <c r="J17" s="209"/>
      <c r="K17" s="291"/>
      <c r="L17" s="19"/>
      <c r="N17" s="40"/>
      <c r="O17" s="40">
        <f>SUM(O12:O16)</f>
        <v>999.85331435241267</v>
      </c>
      <c r="P17" s="40"/>
      <c r="Q17" s="40">
        <f>SUM(Q12:Q16)</f>
        <v>999.85331431461441</v>
      </c>
      <c r="R17" s="40"/>
      <c r="S17" s="40">
        <f>SUM(S12:S16)</f>
        <v>999.85331431461441</v>
      </c>
      <c r="T17" s="40"/>
      <c r="U17" s="40">
        <f>SUM(U12:U16)</f>
        <v>999.85331433729334</v>
      </c>
      <c r="V17" s="18"/>
      <c r="W17" s="18">
        <f>SUM(W12:W16)</f>
        <v>999.85331434233319</v>
      </c>
      <c r="AC17" s="605" t="s">
        <v>46</v>
      </c>
      <c r="AD17" s="605"/>
      <c r="AE17" s="605"/>
      <c r="AF17" s="605"/>
      <c r="AV17" s="255" t="s">
        <v>166</v>
      </c>
      <c r="AW17" s="573"/>
      <c r="AX17" s="174"/>
      <c r="AY17" s="174"/>
      <c r="AZ17" s="174"/>
      <c r="BA17" s="247"/>
      <c r="BB17" s="253"/>
      <c r="BC17" s="251"/>
      <c r="BD17" s="247"/>
      <c r="BE17" s="249"/>
    </row>
    <row r="18" spans="1:57" ht="15.6" x14ac:dyDescent="0.3">
      <c r="A18" s="613"/>
      <c r="B18" s="4" t="s">
        <v>6</v>
      </c>
      <c r="C18" s="4" t="s">
        <v>7</v>
      </c>
      <c r="D18" s="14" t="s">
        <v>8</v>
      </c>
      <c r="E18" s="4" t="s">
        <v>8</v>
      </c>
      <c r="F18" s="615"/>
      <c r="G18" s="616"/>
      <c r="H18" s="238"/>
      <c r="I18" s="239"/>
      <c r="J18" s="240"/>
      <c r="N18" s="41"/>
      <c r="O18" s="41">
        <f>O17/1000</f>
        <v>0.99985331435241265</v>
      </c>
      <c r="P18" s="41"/>
      <c r="Q18" s="41">
        <f>Q17/1000</f>
        <v>0.99985331431461444</v>
      </c>
      <c r="R18" s="41"/>
      <c r="S18" s="41">
        <f>S17/1000</f>
        <v>0.99985331431461444</v>
      </c>
      <c r="T18" s="41"/>
      <c r="U18" s="41">
        <f>U17/1000</f>
        <v>0.9998533143372933</v>
      </c>
      <c r="V18" s="41"/>
      <c r="W18" s="41">
        <f>W17/1000</f>
        <v>0.99985331434233315</v>
      </c>
      <c r="X18" s="44">
        <f>AVERAGE(O18,Q18,S18,U18,W18)</f>
        <v>0.99985331433225366</v>
      </c>
      <c r="Y18" s="42" t="s">
        <v>11</v>
      </c>
      <c r="AC18" s="60">
        <f>$AD$13*(1-(((D20+$AD$9)^2)*(D20+$AD$10)/($AD$11*(D20+$AD$12))))</f>
        <v>999.84012718669692</v>
      </c>
      <c r="AD18" s="61">
        <f>$AJ$6+($AJ$7*D20)</f>
        <v>-4.6116071749790696E-3</v>
      </c>
      <c r="AE18" s="61">
        <f>1+($AO$8+(($AO$9*D20)+($AO$10*D20^2)*($M$5-$AO$7)))</f>
        <v>1.0000000000506801</v>
      </c>
      <c r="AF18" s="62">
        <f>(AC18+AD18)*AE18</f>
        <v>999.83551563019375</v>
      </c>
      <c r="AV18" s="256"/>
      <c r="AW18" s="574"/>
      <c r="AX18" s="178"/>
      <c r="AY18" s="178"/>
      <c r="AZ18" s="178"/>
      <c r="BA18" s="248"/>
      <c r="BB18" s="254"/>
      <c r="BC18" s="252"/>
      <c r="BD18" s="248"/>
      <c r="BE18" s="250"/>
    </row>
    <row r="19" spans="1:57" ht="18.600000000000001" thickBot="1" x14ac:dyDescent="0.35">
      <c r="A19" s="614"/>
      <c r="B19" s="5" t="b">
        <f>IF(Datos!N5=1,"kg",IF(Datos!N5=2,"kg",IF(Datos!N5=3,"kg")))</f>
        <v>0</v>
      </c>
      <c r="C19" s="5" t="b">
        <f>B19</f>
        <v>0</v>
      </c>
      <c r="D19" s="6" t="s">
        <v>10</v>
      </c>
      <c r="E19" s="5" t="s">
        <v>64</v>
      </c>
      <c r="F19" s="31" t="s">
        <v>149</v>
      </c>
      <c r="G19" s="271"/>
      <c r="H19" s="238"/>
      <c r="I19" s="239"/>
      <c r="J19" s="241"/>
      <c r="X19">
        <f>X18*1000</f>
        <v>999.85331433225372</v>
      </c>
      <c r="Y19" s="42" t="s">
        <v>134</v>
      </c>
      <c r="AC19" s="60">
        <f>$AD$13*(1-(((D21+$AD$9)^2)*(D21+$AD$10)/($AD$11*(D21+$AD$12))))</f>
        <v>999.8401271461853</v>
      </c>
      <c r="AD19" s="60">
        <f>$AJ$6+($AJ$7*D21)</f>
        <v>-4.6116072383686159E-3</v>
      </c>
      <c r="AE19" s="61">
        <f>1+($AO$8+(($AO$9*D21)+($AO$10*D21^2)*($M$5-$AO$7)))</f>
        <v>1.0000000000506801</v>
      </c>
      <c r="AF19" s="62">
        <f>(AC19+AD19)*AE19</f>
        <v>999.83551558961869</v>
      </c>
      <c r="AV19" s="569" t="s">
        <v>162</v>
      </c>
      <c r="AW19" s="570"/>
      <c r="AX19" s="570"/>
      <c r="AY19" s="570"/>
      <c r="AZ19" s="570"/>
      <c r="BA19" s="570"/>
      <c r="BB19" s="570"/>
      <c r="BC19" s="571"/>
      <c r="BD19" s="265">
        <f>SQRT(SUMSQ(BD15:BD16))</f>
        <v>2.8867513459481293E-5</v>
      </c>
      <c r="BE19" s="182">
        <f>BD19^4/((BD15^4/BE15)+(BD16^4/BE16))</f>
        <v>100</v>
      </c>
    </row>
    <row r="20" spans="1:57" ht="16.8" thickTop="1" thickBot="1" x14ac:dyDescent="0.35">
      <c r="A20" s="9">
        <v>1</v>
      </c>
      <c r="B20" s="157">
        <f>IF(Datos!$N$5=Datos!$S$8,(IF(Datos!$N$5=Datos!$S$8,Datos!D70/1000,IF(Datos!$N$5=Datos!$S$9,Datos!D70/1000,IF(Datos!$N$5=Datos!$S$10,Datos!D70," Error "))))-'punto 1'!$Y$144/1000000,IF(Datos!$N$5=Datos!$S$9,(IF(Datos!$N$5=Datos!$S$8,Datos!D70/1000000,IF(Datos!$N$5=Datos!$S$9,Datos!D70/1000,IF(Datos!$N$5=Datos!$S$10,Datos!D70," Error "))))-'punto 1'!$AJ$144/1000,IF(Datos!$N$5=Datos!$S$10,(IF(Datos!$N$5=Datos!$S$8,Datos!D70/1000000,IF(Datos!$N$5=Datos!$S$9,Datos!D70/1000,IF(Datos!$N$5=Datos!$S$10,Datos!D70," Error "))))-'punto 1'!$AU$144)))</f>
        <v>0</v>
      </c>
      <c r="C20" s="157">
        <f>IF(Datos!$N$5=Datos!$S$8,(IF(Datos!$N$5=Datos!$S$8,Datos!E70/1000,IF(Datos!$N$5=Datos!$S$9,Datos!E70/1000,IF(Datos!$N$5=Datos!$S$10,Datos!E70," Error "))))-'punto 1'!$AD$144/1000000,IF(Datos!$N$5=Datos!$S$9,(IF(Datos!$N$5=Datos!$S$8,Datos!E70/1000000,IF(Datos!$N$5=Datos!$S$9,Datos!E70/1000,IF(Datos!$N$5=Datos!S10,Datos!E70," Error "))))-'punto 1'!$AO$144/1000,IF(Datos!$N$5=Datos!$S$9,(IF(Datos!$N$5=Datos!$S$8,Datos!E70/1000000,IF(Datos!$N$5=Datos!S9,Datos!E70/1000,IF(Datos!$N$5=Datos!$S$10,Datos!E70," Error "))))-'punto 1'!$AZ$144)))</f>
        <v>0</v>
      </c>
      <c r="D20" s="109">
        <f>Datos!F70-E144</f>
        <v>3.7058964238727427E-3</v>
      </c>
      <c r="E20" s="59">
        <f>O18*1000</f>
        <v>999.85331435241267</v>
      </c>
      <c r="F20" s="274">
        <f>(((B20-C20))/8000)*((1/(E20-($J$2)))*(8000-$J$2)*(1-Datos!$K$8*(D20-20)))</f>
        <v>0</v>
      </c>
      <c r="G20" s="272"/>
      <c r="AC20" s="60">
        <f>$AD$13*(1-(((D22+$AD$9)^2)*(D22+$AD$10)/($AD$11*(D22+$AD$12))))</f>
        <v>999.8401271461853</v>
      </c>
      <c r="AD20" s="60">
        <f>$AJ$6+($AJ$7*D22)</f>
        <v>-4.6116072383686159E-3</v>
      </c>
      <c r="AE20" s="61">
        <f>1+($AO$8+(($AO$9*D22)+($AO$10*D22^2)*($M$5-$AO$7)))</f>
        <v>1.0000000000506801</v>
      </c>
      <c r="AF20" s="62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9">
        <v>2</v>
      </c>
      <c r="B21" s="157">
        <f>IF(Datos!$N$5=Datos!$S$8,(IF(Datos!$N$5=Datos!$S$8,Datos!D71/1000,IF(Datos!$N$5=Datos!$S$9,Datos!D71/1000,IF(Datos!$N$5=Datos!$S$10,Datos!D71," Error "))))-'punto 1'!$Y$144/1000000,IF(Datos!$N$5=Datos!$S$9,(IF(Datos!$N$5=Datos!$S$8,Datos!D71/1000000,IF(Datos!$N$5=Datos!$S$9,Datos!D71/1000,IF(Datos!$N$5=Datos!$S$10,Datos!D71," Error "))))-'punto 1'!$AJ$144/1000,IF(Datos!$N$5=Datos!$S$10,(IF(Datos!$N$5=Datos!$S$8,Datos!D71/1000000,IF(Datos!$N$5=Datos!$S$9,Datos!D71/1000,IF(Datos!$N$5=Datos!$S$10,Datos!D71," Error "))))-'punto 1'!$AU$144)))</f>
        <v>0</v>
      </c>
      <c r="C21" s="157">
        <f>IF(Datos!$N$5=Datos!$S$8,(IF(Datos!$N$5=Datos!$S$8,Datos!E71/1000,IF(Datos!$N$5=Datos!$S$9,Datos!E71/1000,IF(Datos!$N$5=Datos!$S$10,Datos!E71," Error "))))-'punto 1'!$AD$144/1000000,IF(Datos!$N$5=Datos!$S$9,(IF(Datos!$N$5=Datos!$S$8,Datos!E71/1000000,IF(Datos!$N$5=Datos!$S$9,Datos!E71/1000,IF(Datos!$N$5=Datos!S11,Datos!E71," Error "))))-'punto 1'!$AO$144/1000,IF(Datos!$N$5=Datos!$S$9,(IF(Datos!$N$5=Datos!$S$8,Datos!E71/1000000,IF(Datos!$N$5=Datos!S10,Datos!E71/1000,IF(Datos!$N$5=Datos!$S$10,Datos!E71," Error "))))-'punto 1'!$AZ$144)))</f>
        <v>0</v>
      </c>
      <c r="D21" s="109">
        <f>Datos!F71-E161</f>
        <v>3.7052984092811867E-3</v>
      </c>
      <c r="E21" s="59">
        <f>Q18*1000</f>
        <v>999.85331431461441</v>
      </c>
      <c r="F21" s="274">
        <f>(((B21-C21))/8000)*((1/(E21-($J$2)))*(8000-$J$2)*(1-Datos!$K$8*(D21-20)))</f>
        <v>0</v>
      </c>
      <c r="G21" s="635" t="s">
        <v>15</v>
      </c>
      <c r="H21" s="562" t="s">
        <v>17</v>
      </c>
      <c r="I21" s="280"/>
      <c r="J21" s="589"/>
      <c r="AC21" s="60">
        <f>$AD$13*(1-(((D23+$AD$9)^2)*(D23+$AD$10)/($AD$11*(D23+$AD$12))))</f>
        <v>999.84012717049222</v>
      </c>
      <c r="AD21" s="60">
        <f>$AJ$6+($AJ$7*D23)</f>
        <v>-4.6116072003348878E-3</v>
      </c>
      <c r="AE21" s="61">
        <f>1+($AO$8+(($AO$9*D23)+($AO$10*D23^2)*($M$5-$AO$7)))</f>
        <v>1.0000000000506801</v>
      </c>
      <c r="AF21" s="62">
        <f>(AC21+AD21)*AE21</f>
        <v>999.83551561396371</v>
      </c>
      <c r="AV21" s="568" t="s">
        <v>177</v>
      </c>
      <c r="AW21" s="568"/>
      <c r="AX21" s="568"/>
      <c r="AY21" s="568"/>
      <c r="AZ21" s="568"/>
      <c r="BA21" s="568"/>
      <c r="BB21" s="568"/>
      <c r="BC21" s="568"/>
      <c r="BD21" s="568"/>
      <c r="BE21" s="568"/>
    </row>
    <row r="22" spans="1:57" ht="50.4" x14ac:dyDescent="0.3">
      <c r="A22" s="9">
        <v>3</v>
      </c>
      <c r="B22" s="157">
        <f>IF(Datos!$N$5=Datos!$S$8,(IF(Datos!$N$5=Datos!$S$8,Datos!D72/1000,IF(Datos!$N$5=Datos!$S$9,Datos!D72/1000,IF(Datos!$N$5=Datos!$S$10,Datos!D72," Error "))))-'punto 1'!$Y$144/1000000,IF(Datos!$N$5=Datos!$S$9,(IF(Datos!$N$5=Datos!$S$8,Datos!D72/1000000,IF(Datos!$N$5=Datos!$S$9,Datos!D72/1000,IF(Datos!$N$5=Datos!$S$10,Datos!D72," Error "))))-'punto 1'!$AJ$144/1000,IF(Datos!$N$5=Datos!$S$10,(IF(Datos!$N$5=Datos!$S$8,Datos!D72/1000000,IF(Datos!$N$5=Datos!$S$9,Datos!D72/1000,IF(Datos!$N$5=Datos!$S$10,Datos!D72," Error "))))-'punto 1'!$AU$144)))</f>
        <v>0</v>
      </c>
      <c r="C22" s="157">
        <f>IF(Datos!$N$5=Datos!$S$8,(IF(Datos!$N$5=Datos!$S$8,Datos!E72/1000,IF(Datos!$N$5=Datos!$S$9,Datos!E72/1000,IF(Datos!$N$5=Datos!$S$10,Datos!E72," Error "))))-'punto 1'!$AD$144/1000000,IF(Datos!$N$5=Datos!$S$9,(IF(Datos!$N$5=Datos!$S$8,Datos!E72/1000000,IF(Datos!$N$5=Datos!$S$9,Datos!E72/1000,IF(Datos!$N$5=Datos!S12,Datos!E72," Error "))))-'punto 1'!$AO$144/1000,IF(Datos!$N$5=Datos!$S$9,(IF(Datos!$N$5=Datos!$S$8,Datos!E72/1000000,IF(Datos!$N$5=Datos!S11,Datos!E72/1000,IF(Datos!$N$5=Datos!$S$10,Datos!E72," Error "))))-'punto 1'!$AZ$144)))</f>
        <v>0</v>
      </c>
      <c r="D22" s="109">
        <f>Datos!F72-E178</f>
        <v>3.7052984092811867E-3</v>
      </c>
      <c r="E22" s="59">
        <f>S18*1000</f>
        <v>999.85331431461441</v>
      </c>
      <c r="F22" s="274">
        <f>(((B22-C22))/8000)*((1/(E22-($J$2)))*(8000-$J$2)*(1-Datos!$K$8*(D22-20)))</f>
        <v>0</v>
      </c>
      <c r="G22" s="635"/>
      <c r="H22" s="562"/>
      <c r="I22" s="281"/>
      <c r="J22" s="589"/>
      <c r="AC22" s="60">
        <f>$AD$13*(1-(((D24+$AD$9)^2)*(D24+$AD$10)/($AD$11*(D24+$AD$12))))</f>
        <v>999.84012717589371</v>
      </c>
      <c r="AD22" s="60">
        <f>$AJ$6+($AJ$7*D24)</f>
        <v>-4.6116071918829481E-3</v>
      </c>
      <c r="AE22" s="61">
        <f>1+($AO$8+(($AO$9*D24)+($AO$10*D24^2)*($M$5-$AO$7)))</f>
        <v>1.0000000000506801</v>
      </c>
      <c r="AF22" s="62">
        <f>(AC22+AD22)*AE22</f>
        <v>999.83551561937361</v>
      </c>
      <c r="AV22" s="134" t="s">
        <v>152</v>
      </c>
      <c r="AW22" s="134" t="s">
        <v>153</v>
      </c>
      <c r="AX22" s="134" t="s">
        <v>154</v>
      </c>
      <c r="AY22" s="134" t="s">
        <v>155</v>
      </c>
      <c r="AZ22" s="134" t="s">
        <v>156</v>
      </c>
      <c r="BA22" s="134" t="s">
        <v>157</v>
      </c>
      <c r="BB22" s="134" t="s">
        <v>158</v>
      </c>
      <c r="BC22" s="134" t="s">
        <v>159</v>
      </c>
      <c r="BD22" s="134" t="s">
        <v>160</v>
      </c>
      <c r="BE22" s="134" t="s">
        <v>114</v>
      </c>
    </row>
    <row r="23" spans="1:57" ht="16.2" thickBot="1" x14ac:dyDescent="0.35">
      <c r="A23" s="114">
        <v>4</v>
      </c>
      <c r="B23" s="157">
        <f>IF(Datos!$N$5=Datos!$S$8,(IF(Datos!$N$5=Datos!$S$8,Datos!D73/1000,IF(Datos!$N$5=Datos!$S$9,Datos!D73/1000,IF(Datos!$N$5=Datos!$S$10,Datos!D73," Error "))))-'punto 1'!$Y$144/1000000,IF(Datos!$N$5=Datos!$S$9,(IF(Datos!$N$5=Datos!$S$8,Datos!D73/1000000,IF(Datos!$N$5=Datos!$S$9,Datos!D73/1000,IF(Datos!$N$5=Datos!$S$10,Datos!D73," Error "))))-'punto 1'!$AJ$144/1000,IF(Datos!$N$5=Datos!$S$10,(IF(Datos!$N$5=Datos!$S$8,Datos!D73/1000000,IF(Datos!$N$5=Datos!$S$9,Datos!D73/1000,IF(Datos!$N$5=Datos!$S$10,Datos!D73," Error "))))-'punto 1'!$AU$144)))</f>
        <v>0</v>
      </c>
      <c r="C23" s="157">
        <f>IF(Datos!$N$5=Datos!$S$8,(IF(Datos!$N$5=Datos!$S$8,Datos!E73/1000,IF(Datos!$N$5=Datos!$S$9,Datos!E73/1000,IF(Datos!$N$5=Datos!$S$10,Datos!E73," Error "))))-'punto 1'!$AD$144/1000000,IF(Datos!$N$5=Datos!$S$9,(IF(Datos!$N$5=Datos!$S$8,Datos!E73/1000000,IF(Datos!$N$5=Datos!$S$9,Datos!E73/1000,IF(Datos!$N$5=Datos!S13,Datos!E73," Error "))))-'punto 1'!$AO$144/1000,IF(Datos!$N$5=Datos!$S$9,(IF(Datos!$N$5=Datos!$S$8,Datos!E73/1000000,IF(Datos!$N$5=Datos!S12,Datos!E73/1000,IF(Datos!$N$5=Datos!$S$10,Datos!E73," Error "))))-'punto 1'!$AZ$144)))</f>
        <v>0</v>
      </c>
      <c r="D23" s="109">
        <f>Datos!F73-E195</f>
        <v>3.7056572180361202E-3</v>
      </c>
      <c r="E23" s="79">
        <f>U18*1000</f>
        <v>999.85331433729334</v>
      </c>
      <c r="F23" s="274">
        <f>(((B23-C23))/8000)*((1/(E23-($J$2)))*(8000-$J$2)*(1-Datos!$K$8*(D23-20)))</f>
        <v>0</v>
      </c>
      <c r="G23" s="634" t="s">
        <v>13</v>
      </c>
      <c r="H23" s="633"/>
      <c r="I23" s="273"/>
      <c r="J23" s="278"/>
      <c r="AE23" s="25" t="s">
        <v>18</v>
      </c>
      <c r="AF23" s="25">
        <f>AVERAGE(AF18:AF22)</f>
        <v>999.83551560855381</v>
      </c>
      <c r="AV23" s="134"/>
      <c r="AW23" s="572" t="s">
        <v>182</v>
      </c>
      <c r="AX23" s="134"/>
      <c r="AY23" s="134"/>
      <c r="AZ23" s="134"/>
      <c r="BA23" s="134"/>
      <c r="BB23" s="134"/>
      <c r="BC23" s="134"/>
      <c r="BD23" s="134"/>
      <c r="BE23" s="134"/>
    </row>
    <row r="24" spans="1:57" ht="20.399999999999999" thickTop="1" thickBot="1" x14ac:dyDescent="0.35">
      <c r="A24" s="114">
        <v>5</v>
      </c>
      <c r="B24" s="157">
        <f>IF(Datos!$N$5=Datos!$S$8,(IF(Datos!$N$5=Datos!$S$8,Datos!D74/1000,IF(Datos!$N$5=Datos!$S$9,Datos!D74/1000,IF(Datos!$N$5=Datos!$S$10,Datos!D74," Error "))))-'punto 1'!$Y$144/1000000,IF(Datos!$N$5=Datos!$S$9,(IF(Datos!$N$5=Datos!$S$8,Datos!D74/1000000,IF(Datos!$N$5=Datos!$S$9,Datos!D74/1000,IF(Datos!$N$5=Datos!$S$10,Datos!D74," Error "))))-'punto 1'!$AJ$144/1000,IF(Datos!$N$5=Datos!$S$10,(IF(Datos!$N$5=Datos!$S$8,Datos!D74/1000000,IF(Datos!$N$5=Datos!$S$9,Datos!D74/1000,IF(Datos!$N$5=Datos!$S$10,Datos!D74," Error "))))-'punto 1'!$AU$144)))</f>
        <v>0</v>
      </c>
      <c r="C24" s="157">
        <f>IF(Datos!$N$5=Datos!$S$8,(IF(Datos!$N$5=Datos!$S$8,Datos!E74/1000,IF(Datos!$N$5=Datos!$S$9,Datos!E74/1000,IF(Datos!$N$5=Datos!$S$10,Datos!E74," Error "))))-'punto 1'!$AD$144/1000000,IF(Datos!$N$5=Datos!$S$9,(IF(Datos!$N$5=Datos!$S$8,Datos!E74/1000000,IF(Datos!$N$5=Datos!$S$9,Datos!E74/1000,IF(Datos!$N$5=Datos!S14,Datos!E74," Error "))))-'punto 1'!$AO$144/1000,IF(Datos!$N$5=Datos!$S$9,(IF(Datos!$N$5=Datos!$S$8,Datos!E74/1000000,IF(Datos!$N$5=Datos!S13,Datos!E74/1000,IF(Datos!$N$5=Datos!$S$10,Datos!E74," Error "))))-'punto 1'!$AZ$144)))</f>
        <v>0</v>
      </c>
      <c r="D24" s="109">
        <f>Datos!F74-E212</f>
        <v>3.7057369533149941E-3</v>
      </c>
      <c r="E24" s="79">
        <f>W18*1000</f>
        <v>999.85331434233319</v>
      </c>
      <c r="F24" s="274">
        <f>(((B24-C24))/8000)*((1/(E24-($J$2)))*(8000-$J$2)*(1-Datos!$K$8*(D24-20)))</f>
        <v>0</v>
      </c>
      <c r="G24" s="284">
        <f>IF(Datos!U4=Datos!$U$5,AVERAGE(F20:F24)*1000000,IF(Datos!U4=Datos!$U$6,AVERAGE(F20:F24)*1000000))</f>
        <v>0</v>
      </c>
      <c r="H24" s="283">
        <f>G24-Datos!E66</f>
        <v>-10</v>
      </c>
      <c r="I24" s="282"/>
      <c r="J24" s="279"/>
      <c r="AV24" s="184" t="s">
        <v>164</v>
      </c>
      <c r="AW24" s="573"/>
      <c r="AX24" s="183" t="s">
        <v>3</v>
      </c>
      <c r="AY24" s="162" t="s">
        <v>161</v>
      </c>
      <c r="AZ24" s="163" t="s">
        <v>184</v>
      </c>
      <c r="BA24" s="164">
        <f>BD36</f>
        <v>6.5000741398008058E-2</v>
      </c>
      <c r="BB24" s="165" t="s">
        <v>9</v>
      </c>
      <c r="BC24" s="185">
        <f>(((-M4*0.00252)*(273.15+M3))-((0.348444*M5/100)-(M4*((0.00252*M3)-0.02082))))/(273.15+M3)^2</f>
        <v>-5.2088362330320996E-6</v>
      </c>
      <c r="BD24" s="166">
        <f>BA24*BC24</f>
        <v>-3.3857821696789395E-7</v>
      </c>
      <c r="BE24" s="167">
        <f>BE36</f>
        <v>100.00455732305832</v>
      </c>
    </row>
    <row r="25" spans="1:57" ht="19.8" thickTop="1" x14ac:dyDescent="0.3">
      <c r="A25" s="86"/>
      <c r="B25" s="93"/>
      <c r="C25" s="93"/>
      <c r="D25" s="110"/>
      <c r="E25" s="111"/>
      <c r="F25" s="112"/>
      <c r="AV25" s="168" t="s">
        <v>165</v>
      </c>
      <c r="AW25" s="573"/>
      <c r="AX25" s="169" t="s">
        <v>129</v>
      </c>
      <c r="AY25" s="169" t="s">
        <v>168</v>
      </c>
      <c r="AZ25" s="169" t="s">
        <v>184</v>
      </c>
      <c r="BA25" s="170">
        <f>BD44</f>
        <v>3.2604704381294417E-3</v>
      </c>
      <c r="BB25" s="171" t="str">
        <f>BB24</f>
        <v>kg</v>
      </c>
      <c r="BC25" s="186">
        <f>-((0.00252*M3)-0.020582)/(273.15+M3)</f>
        <v>7.618029480826491E-5</v>
      </c>
      <c r="BD25" s="172">
        <f>BA25*BC25</f>
        <v>2.4838359919033353E-7</v>
      </c>
      <c r="BE25" s="173">
        <f>BE44</f>
        <v>100.87476101488259</v>
      </c>
    </row>
    <row r="26" spans="1:57" ht="28.8" x14ac:dyDescent="0.3">
      <c r="A26" s="86"/>
      <c r="B26" s="93"/>
      <c r="C26" s="93"/>
      <c r="D26" s="110"/>
      <c r="E26" s="258"/>
      <c r="F26" s="112"/>
      <c r="G26" s="94"/>
      <c r="AV26" s="210" t="s">
        <v>166</v>
      </c>
      <c r="AW26" s="573"/>
      <c r="AX26" s="174" t="s">
        <v>132</v>
      </c>
      <c r="AY26" s="174" t="s">
        <v>169</v>
      </c>
      <c r="AZ26" s="174" t="s">
        <v>184</v>
      </c>
      <c r="BA26" s="247">
        <f>BD52</f>
        <v>0.12</v>
      </c>
      <c r="BB26" s="253" t="str">
        <f>BB25</f>
        <v>kg</v>
      </c>
      <c r="BC26" s="251">
        <f>0.348444/(273.15+M3)</f>
        <v>1.2760585773347783E-3</v>
      </c>
      <c r="BD26" s="247">
        <f>BA26*BC26</f>
        <v>1.5312702928017339E-4</v>
      </c>
      <c r="BE26" s="249">
        <f>BE52</f>
        <v>100</v>
      </c>
    </row>
    <row r="27" spans="1:57" ht="19.2" x14ac:dyDescent="0.3">
      <c r="A27" s="86"/>
      <c r="B27" s="93"/>
      <c r="C27" s="93"/>
      <c r="D27" s="110"/>
      <c r="E27" s="258"/>
      <c r="F27" s="112"/>
      <c r="G27" s="94"/>
      <c r="AV27" s="256" t="s">
        <v>183</v>
      </c>
      <c r="AW27" s="574"/>
      <c r="AX27" s="162" t="s">
        <v>185</v>
      </c>
      <c r="AY27" s="162" t="s">
        <v>161</v>
      </c>
      <c r="AZ27" s="162" t="s">
        <v>184</v>
      </c>
      <c r="BA27" s="166">
        <f>0.00006*J2</f>
        <v>2.5033199200948454E-9</v>
      </c>
      <c r="BB27" s="211" t="s">
        <v>9</v>
      </c>
      <c r="BC27" s="185">
        <v>1</v>
      </c>
      <c r="BD27" s="247">
        <f>BA27*BC27</f>
        <v>2.5033199200948454E-9</v>
      </c>
      <c r="BE27" s="167">
        <v>100</v>
      </c>
    </row>
    <row r="28" spans="1:57" ht="28.8" x14ac:dyDescent="0.3">
      <c r="A28" s="86"/>
      <c r="B28" s="161"/>
      <c r="C28" s="93"/>
      <c r="D28" s="110"/>
      <c r="E28" s="258"/>
      <c r="F28" s="112"/>
      <c r="G28" s="131" t="s">
        <v>106</v>
      </c>
      <c r="H28" s="131" t="s">
        <v>107</v>
      </c>
      <c r="I28" s="131" t="s">
        <v>108</v>
      </c>
      <c r="J28" s="131" t="s">
        <v>90</v>
      </c>
      <c r="K28" s="131" t="s">
        <v>109</v>
      </c>
      <c r="L28" s="132" t="s">
        <v>110</v>
      </c>
      <c r="M28" s="133" t="s">
        <v>111</v>
      </c>
      <c r="N28" s="131" t="s">
        <v>112</v>
      </c>
      <c r="O28" s="131" t="s">
        <v>111</v>
      </c>
      <c r="P28" s="132" t="s">
        <v>113</v>
      </c>
      <c r="Q28" s="134" t="s">
        <v>114</v>
      </c>
      <c r="R28" s="131" t="s">
        <v>115</v>
      </c>
      <c r="AV28" s="569" t="s">
        <v>162</v>
      </c>
      <c r="AW28" s="570"/>
      <c r="AX28" s="570"/>
      <c r="AY28" s="570"/>
      <c r="AZ28" s="570"/>
      <c r="BA28" s="570"/>
      <c r="BB28" s="570"/>
      <c r="BC28" s="571"/>
      <c r="BD28" s="267">
        <f>SQRT(SUMSQ(BD24:BD27))</f>
        <v>1.5312760506211491E-4</v>
      </c>
      <c r="BE28" s="182">
        <f>BD28^4/((BD24^4/BE24)+(BD25^4/BE25)+(BD26^4/BE26)+(BD27^4/BE27))</f>
        <v>100.0015040689135</v>
      </c>
    </row>
    <row r="29" spans="1:57" ht="18" x14ac:dyDescent="0.4">
      <c r="A29" s="86"/>
      <c r="B29" s="93"/>
      <c r="C29" s="93"/>
      <c r="D29" s="110"/>
      <c r="E29" s="113"/>
      <c r="F29" s="112"/>
      <c r="G29" s="187" t="s">
        <v>171</v>
      </c>
      <c r="H29" s="136" t="s">
        <v>170</v>
      </c>
      <c r="I29" s="135" t="s">
        <v>116</v>
      </c>
      <c r="J29" s="188" t="s">
        <v>120</v>
      </c>
      <c r="K29" s="135" t="s">
        <v>118</v>
      </c>
      <c r="L29" s="268">
        <f>BD10</f>
        <v>2.0207259421636903E-4</v>
      </c>
      <c r="M29" s="190" t="s">
        <v>9</v>
      </c>
      <c r="N29" s="218">
        <f>(((1))/8000)*((1/(E20-($J$2)))*(8000-$J$2)*(1-Datos!$K$8*(B35-20)))</f>
        <v>1.0121462809371273E-3</v>
      </c>
      <c r="O29" s="229" t="s">
        <v>212</v>
      </c>
      <c r="P29" s="223">
        <f t="shared" ref="P29:P36" si="0">(L29*N29)</f>
        <v>2.0452702471541517E-7</v>
      </c>
      <c r="Q29" s="191">
        <f>BE10</f>
        <v>104.16485900216924</v>
      </c>
      <c r="R29" s="138">
        <f>(P29/$P$38)^2</f>
        <v>0.19986161764867705</v>
      </c>
    </row>
    <row r="30" spans="1:57" ht="50.4" x14ac:dyDescent="0.25">
      <c r="G30" s="212" t="s">
        <v>176</v>
      </c>
      <c r="H30" s="213" t="s">
        <v>175</v>
      </c>
      <c r="I30" s="139" t="s">
        <v>119</v>
      </c>
      <c r="J30" s="214" t="s">
        <v>120</v>
      </c>
      <c r="K30" s="215" t="s">
        <v>118</v>
      </c>
      <c r="L30" s="269">
        <f>BD19</f>
        <v>2.8867513459481293E-5</v>
      </c>
      <c r="M30" s="196" t="s">
        <v>9</v>
      </c>
      <c r="N30" s="219">
        <f>(((-1))/8000)*((1/(E20-($J$2)))*(8000-$J$2)*(1-Datos!$K$8*(B35-20)))</f>
        <v>-1.0121462809371273E-3</v>
      </c>
      <c r="O30" s="196" t="s">
        <v>212</v>
      </c>
      <c r="P30" s="224">
        <f t="shared" si="0"/>
        <v>-2.9218146387916457E-8</v>
      </c>
      <c r="Q30" s="150">
        <f>BE19</f>
        <v>100</v>
      </c>
      <c r="R30" s="296">
        <f t="shared" ref="R30:R36" si="1">(P30/$P$38)^2</f>
        <v>4.078808523442389E-3</v>
      </c>
      <c r="AV30" s="134" t="s">
        <v>152</v>
      </c>
      <c r="AW30" s="134" t="s">
        <v>153</v>
      </c>
      <c r="AX30" s="134" t="s">
        <v>154</v>
      </c>
      <c r="AY30" s="134" t="s">
        <v>155</v>
      </c>
      <c r="AZ30" s="134" t="s">
        <v>156</v>
      </c>
      <c r="BA30" s="134" t="s">
        <v>157</v>
      </c>
      <c r="BB30" s="134" t="s">
        <v>158</v>
      </c>
      <c r="BC30" s="134" t="s">
        <v>159</v>
      </c>
      <c r="BD30" s="134" t="s">
        <v>160</v>
      </c>
      <c r="BE30" s="134" t="s">
        <v>114</v>
      </c>
    </row>
    <row r="31" spans="1:57" ht="30" x14ac:dyDescent="0.7">
      <c r="A31" s="115" t="s">
        <v>38</v>
      </c>
      <c r="B31" s="116">
        <f>AVERAGE(B20:B24)</f>
        <v>0</v>
      </c>
      <c r="G31" s="187" t="s">
        <v>186</v>
      </c>
      <c r="H31" s="143" t="s">
        <v>187</v>
      </c>
      <c r="I31" s="135" t="s">
        <v>121</v>
      </c>
      <c r="J31" s="137" t="s">
        <v>120</v>
      </c>
      <c r="K31" s="187" t="s">
        <v>118</v>
      </c>
      <c r="L31" s="189">
        <f>BD28</f>
        <v>1.5312760506211491E-4</v>
      </c>
      <c r="M31" s="190" t="s">
        <v>134</v>
      </c>
      <c r="N31" s="220">
        <f>((-(B31-B32)*(1-(Datos!K8*(B35-20))))/(8000*(X19-J2)))-(((B31-B32)*(8000-J2)*(1-(Datos!K8*(B35-20))))/(8000*(X19-J2)^2))</f>
        <v>0</v>
      </c>
      <c r="O31" s="229" t="s">
        <v>190</v>
      </c>
      <c r="P31" s="223">
        <f t="shared" si="0"/>
        <v>0</v>
      </c>
      <c r="Q31" s="230">
        <f>BE28</f>
        <v>100.0015040689135</v>
      </c>
      <c r="R31" s="138">
        <f t="shared" si="1"/>
        <v>0</v>
      </c>
      <c r="AV31" s="134"/>
      <c r="AW31" s="572" t="s">
        <v>178</v>
      </c>
      <c r="AX31" s="134"/>
      <c r="AY31" s="134"/>
      <c r="AZ31" s="134"/>
      <c r="BA31" s="134"/>
      <c r="BB31" s="134"/>
      <c r="BC31" s="134"/>
      <c r="BD31" s="134"/>
      <c r="BE31" s="134"/>
    </row>
    <row r="32" spans="1:57" ht="24" x14ac:dyDescent="0.5">
      <c r="A32" s="115" t="s">
        <v>39</v>
      </c>
      <c r="B32" s="116">
        <f>AVERAGE(C20:C24)</f>
        <v>0</v>
      </c>
      <c r="G32" s="65" t="s">
        <v>191</v>
      </c>
      <c r="H32" s="77" t="s">
        <v>192</v>
      </c>
      <c r="I32" s="60" t="s">
        <v>123</v>
      </c>
      <c r="J32" s="46" t="s">
        <v>120</v>
      </c>
      <c r="K32" s="65" t="s">
        <v>118</v>
      </c>
      <c r="L32" s="46">
        <v>70</v>
      </c>
      <c r="M32" s="196" t="s">
        <v>134</v>
      </c>
      <c r="N32" s="221">
        <f>(((B31-B32)*(1-(Datos!K8*(B35-20))))/(8000*(X19-J2)))-(((B31-B32)*(8000-J2)*(1-(Datos!K8*(B35-20))))/(8000^2*(X19-J2)))</f>
        <v>0</v>
      </c>
      <c r="O32" s="77" t="s">
        <v>190</v>
      </c>
      <c r="P32" s="225">
        <f t="shared" si="0"/>
        <v>0</v>
      </c>
      <c r="Q32" s="142">
        <v>100</v>
      </c>
      <c r="R32" s="296">
        <f t="shared" si="1"/>
        <v>0</v>
      </c>
      <c r="AV32" s="184" t="s">
        <v>164</v>
      </c>
      <c r="AW32" s="573"/>
      <c r="AX32" s="183" t="s">
        <v>167</v>
      </c>
      <c r="AY32" s="162" t="s">
        <v>161</v>
      </c>
      <c r="AZ32" s="163"/>
      <c r="BA32" s="164">
        <f>MAX('punto 1'!N143:N145,'punto 1'!S143:S145)/2</f>
        <v>6.5000000000000002E-2</v>
      </c>
      <c r="BB32" s="327" t="s">
        <v>237</v>
      </c>
      <c r="BC32" s="185">
        <v>1</v>
      </c>
      <c r="BD32" s="166">
        <f>BA32*BC32</f>
        <v>6.5000000000000002E-2</v>
      </c>
      <c r="BE32" s="167">
        <v>100</v>
      </c>
    </row>
    <row r="33" spans="1:57" ht="31.2" x14ac:dyDescent="0.3">
      <c r="A33" s="117" t="s">
        <v>188</v>
      </c>
      <c r="B33" s="118">
        <f>STDEVA(B20:B24)</f>
        <v>0</v>
      </c>
      <c r="C33" s="105"/>
      <c r="F33" s="22"/>
      <c r="G33" s="228" t="s">
        <v>193</v>
      </c>
      <c r="H33" s="231" t="s">
        <v>194</v>
      </c>
      <c r="I33" s="144" t="s">
        <v>124</v>
      </c>
      <c r="J33" s="145" t="s">
        <v>117</v>
      </c>
      <c r="K33" s="144" t="s">
        <v>118</v>
      </c>
      <c r="L33" s="260">
        <f>L35</f>
        <v>1.0004165799695501E-2</v>
      </c>
      <c r="M33" s="190" t="s">
        <v>210</v>
      </c>
      <c r="N33" s="262">
        <f>(-(B31-B32)*(8000-J2)*(1-(Datos!K8*(B35-20))))/(8000*(X19-J2)^2)*(-0.0632693+(-0.008523829*2*B35)+(0.00006943248*3*B35^2)+(0.0000003821216*4*B35^3))</f>
        <v>0</v>
      </c>
      <c r="O33" s="190" t="s">
        <v>211</v>
      </c>
      <c r="P33" s="261">
        <f t="shared" si="0"/>
        <v>0</v>
      </c>
      <c r="Q33" s="149">
        <v>100</v>
      </c>
      <c r="R33" s="138">
        <f t="shared" si="1"/>
        <v>0</v>
      </c>
      <c r="AV33" s="168" t="s">
        <v>165</v>
      </c>
      <c r="AW33" s="573"/>
      <c r="AX33" s="169" t="s">
        <v>181</v>
      </c>
      <c r="AY33" s="169" t="s">
        <v>168</v>
      </c>
      <c r="AZ33" s="169"/>
      <c r="BA33" s="170">
        <f>L3/SQRT(12)</f>
        <v>0</v>
      </c>
      <c r="BB33" s="171" t="str">
        <f>BB32</f>
        <v>0C</v>
      </c>
      <c r="BC33" s="186">
        <v>1</v>
      </c>
      <c r="BD33" s="172">
        <f>BA33*BC33</f>
        <v>0</v>
      </c>
      <c r="BE33" s="173">
        <v>100</v>
      </c>
    </row>
    <row r="34" spans="1:57" ht="31.2" x14ac:dyDescent="0.3">
      <c r="A34" s="119" t="s">
        <v>102</v>
      </c>
      <c r="B34" s="118">
        <f>STDEVA(C20:C24)</f>
        <v>0</v>
      </c>
      <c r="C34" s="105"/>
      <c r="F34" s="22"/>
      <c r="G34" s="65" t="s">
        <v>195</v>
      </c>
      <c r="H34" s="146" t="s">
        <v>196</v>
      </c>
      <c r="I34" s="139" t="s">
        <v>24</v>
      </c>
      <c r="J34" s="141" t="s">
        <v>120</v>
      </c>
      <c r="K34" s="65" t="s">
        <v>122</v>
      </c>
      <c r="L34" s="147">
        <f>Datos!K8*0.1/SQRT(12)</f>
        <v>1.7320508075688774E-5</v>
      </c>
      <c r="M34" s="196" t="s">
        <v>197</v>
      </c>
      <c r="N34" s="232">
        <f>--((B31-B32)*(8000-J2)*(B35-20))/(8000*(X19-J2))</f>
        <v>0</v>
      </c>
      <c r="O34" s="159" t="s">
        <v>208</v>
      </c>
      <c r="P34" s="224">
        <f t="shared" si="0"/>
        <v>0</v>
      </c>
      <c r="Q34" s="160">
        <v>100</v>
      </c>
      <c r="R34" s="296">
        <f t="shared" si="1"/>
        <v>0</v>
      </c>
      <c r="AV34" s="581" t="s">
        <v>166</v>
      </c>
      <c r="AW34" s="573"/>
      <c r="AX34" s="174" t="s">
        <v>135</v>
      </c>
      <c r="AY34" s="174" t="s">
        <v>169</v>
      </c>
      <c r="AZ34" s="174"/>
      <c r="BA34" s="566">
        <f>(MAX(J3:K3)-MIN(J3:K3))/SQRT(24)</f>
        <v>3.1045497373677892E-4</v>
      </c>
      <c r="BB34" s="577" t="str">
        <f>BB33</f>
        <v>0C</v>
      </c>
      <c r="BC34" s="575">
        <v>1</v>
      </c>
      <c r="BD34" s="566">
        <f>BA34*BC34</f>
        <v>3.1045497373677892E-4</v>
      </c>
      <c r="BE34" s="586">
        <v>1</v>
      </c>
    </row>
    <row r="35" spans="1:57" ht="19.2" x14ac:dyDescent="0.45">
      <c r="A35" s="216" t="s">
        <v>189</v>
      </c>
      <c r="B35" s="217">
        <f>AVERAGE(D20:D24)</f>
        <v>3.7055774827572455E-3</v>
      </c>
      <c r="C35" s="105"/>
      <c r="F35" s="22"/>
      <c r="G35" s="187" t="s">
        <v>201</v>
      </c>
      <c r="H35" s="143" t="s">
        <v>202</v>
      </c>
      <c r="I35" s="135" t="s">
        <v>125</v>
      </c>
      <c r="J35" s="137" t="s">
        <v>120</v>
      </c>
      <c r="K35" s="187" t="s">
        <v>118</v>
      </c>
      <c r="L35" s="189">
        <f>BD63</f>
        <v>1.0004165799695501E-2</v>
      </c>
      <c r="M35" s="190" t="s">
        <v>207</v>
      </c>
      <c r="N35" s="220">
        <f>-((B31-B32)*(8000-J2)*Datos!K8)/(8000*('punto 1'!X19-'punto 1'!J2))</f>
        <v>0</v>
      </c>
      <c r="O35" s="229" t="s">
        <v>209</v>
      </c>
      <c r="P35" s="223">
        <f t="shared" si="0"/>
        <v>0</v>
      </c>
      <c r="Q35" s="148">
        <v>100</v>
      </c>
      <c r="R35" s="138">
        <f t="shared" si="1"/>
        <v>0</v>
      </c>
      <c r="AV35" s="582"/>
      <c r="AW35" s="574"/>
      <c r="AX35" s="178"/>
      <c r="AY35" s="178"/>
      <c r="AZ35" s="178"/>
      <c r="BA35" s="567"/>
      <c r="BB35" s="578"/>
      <c r="BC35" s="576"/>
      <c r="BD35" s="567"/>
      <c r="BE35" s="587"/>
    </row>
    <row r="36" spans="1:57" ht="19.2" x14ac:dyDescent="0.45">
      <c r="A36" s="22"/>
      <c r="B36" s="105"/>
      <c r="C36" s="105"/>
      <c r="F36" s="22"/>
      <c r="G36" s="65" t="s">
        <v>198</v>
      </c>
      <c r="H36" s="140" t="s">
        <v>199</v>
      </c>
      <c r="I36" s="139" t="s">
        <v>126</v>
      </c>
      <c r="J36" s="141" t="s">
        <v>120</v>
      </c>
      <c r="K36" s="139" t="s">
        <v>122</v>
      </c>
      <c r="L36" s="197">
        <f>(IF(Datos!$P$5=B5,VLOOKUP(Datos!P5,B5:C8,2,FALSE)/1000000,IF(Datos!$P$5=B6,VLOOKUP(Datos!P5,B5:C8,2,FALSE)/1000000,IF(Datos!$P$5=B7,VLOOKUP(Datos!P5,B5:C8,2,FALSE)/1000000,IF(Datos!$P$5=B8,VLOOKUP(Datos!P5,B5:C8,2,FALSE)/1000000," Error ")))))/SQRT(3)</f>
        <v>4.0818664031706544E-7</v>
      </c>
      <c r="M36" s="196" t="s">
        <v>200</v>
      </c>
      <c r="N36" s="222">
        <v>1</v>
      </c>
      <c r="O36" s="46">
        <v>1</v>
      </c>
      <c r="P36" s="226">
        <f t="shared" si="0"/>
        <v>4.0818664031706544E-7</v>
      </c>
      <c r="Q36" s="142">
        <v>100</v>
      </c>
      <c r="R36" s="296">
        <f t="shared" si="1"/>
        <v>0.7960595738278804</v>
      </c>
      <c r="AV36" s="569" t="s">
        <v>162</v>
      </c>
      <c r="AW36" s="570"/>
      <c r="AX36" s="570"/>
      <c r="AY36" s="570"/>
      <c r="AZ36" s="570"/>
      <c r="BA36" s="570"/>
      <c r="BB36" s="570"/>
      <c r="BC36" s="571"/>
      <c r="BD36" s="264">
        <f>SQRT(SUMSQ(BD32:BD34))</f>
        <v>6.5000741398008058E-2</v>
      </c>
      <c r="BE36" s="182">
        <f>BD36^4/((BD32^4/BE32)+(BD33^4/BE33)+(BD34^4/BE34))</f>
        <v>100.00455732305832</v>
      </c>
    </row>
    <row r="37" spans="1:57" ht="27" x14ac:dyDescent="0.3">
      <c r="A37" s="22"/>
      <c r="B37" s="105"/>
      <c r="C37" s="105"/>
      <c r="F37" s="22"/>
      <c r="G37" s="292" t="s">
        <v>219</v>
      </c>
      <c r="H37" s="136" t="s">
        <v>220</v>
      </c>
      <c r="I37" s="135"/>
      <c r="J37" s="149" t="s">
        <v>117</v>
      </c>
      <c r="K37" s="135" t="s">
        <v>118</v>
      </c>
      <c r="L37" s="137">
        <f>STDEV(F20:F24)</f>
        <v>0</v>
      </c>
      <c r="M37" s="190" t="s">
        <v>200</v>
      </c>
      <c r="N37" s="294">
        <v>1</v>
      </c>
      <c r="O37" s="293">
        <v>1</v>
      </c>
      <c r="P37" s="261">
        <f>L37*N37</f>
        <v>0</v>
      </c>
      <c r="Q37" s="295">
        <f>COUNT(F20:F24)-1</f>
        <v>4</v>
      </c>
      <c r="R37" s="297">
        <f>P37^2/$P$38^2</f>
        <v>0</v>
      </c>
    </row>
    <row r="38" spans="1:57" ht="50.4" x14ac:dyDescent="0.3">
      <c r="A38" s="22"/>
      <c r="B38" s="258"/>
      <c r="C38" s="258"/>
      <c r="F38" s="22"/>
      <c r="G38" s="590" t="s">
        <v>213</v>
      </c>
      <c r="H38" s="591"/>
      <c r="I38" s="591"/>
      <c r="J38" s="591"/>
      <c r="K38" s="591"/>
      <c r="L38" s="591"/>
      <c r="M38" s="591"/>
      <c r="N38" s="592"/>
      <c r="O38" s="60"/>
      <c r="P38" s="263">
        <f>SQRT(SUMSQ(P29:P37))</f>
        <v>4.5749463084348776E-7</v>
      </c>
      <c r="Q38" s="60"/>
      <c r="R38" s="298">
        <f>SUM(R29:R37)</f>
        <v>0.99999999999999978</v>
      </c>
      <c r="AV38" s="134" t="s">
        <v>152</v>
      </c>
      <c r="AW38" s="134" t="s">
        <v>153</v>
      </c>
      <c r="AX38" s="134" t="s">
        <v>154</v>
      </c>
      <c r="AY38" s="134" t="s">
        <v>155</v>
      </c>
      <c r="AZ38" s="134" t="s">
        <v>156</v>
      </c>
      <c r="BA38" s="134" t="s">
        <v>157</v>
      </c>
      <c r="BB38" s="134" t="s">
        <v>158</v>
      </c>
      <c r="BC38" s="134" t="s">
        <v>159</v>
      </c>
      <c r="BD38" s="134" t="s">
        <v>160</v>
      </c>
      <c r="BE38" s="134" t="s">
        <v>114</v>
      </c>
    </row>
    <row r="39" spans="1:57" ht="15.6" x14ac:dyDescent="0.3">
      <c r="A39" s="22"/>
      <c r="B39" s="105"/>
      <c r="C39" s="258"/>
      <c r="F39" s="22"/>
      <c r="G39" s="607" t="s">
        <v>127</v>
      </c>
      <c r="H39" s="608"/>
      <c r="I39" s="608"/>
      <c r="J39" s="608"/>
      <c r="K39" s="608"/>
      <c r="L39" s="608"/>
      <c r="M39" s="608"/>
      <c r="N39" s="608"/>
      <c r="O39" s="151"/>
      <c r="P39" s="152">
        <f>P38^4/((P29^4/Q29)+(P30^4/Q30)+(P31^4/Q31)+(P32^4/Q32)+(P33^4/Q33)+(P34^4/Q34)+(P35^4/Q35)+(P36^4/Q36))</f>
        <v>148.79291152601621</v>
      </c>
      <c r="Q39" s="152"/>
      <c r="R39" s="153"/>
      <c r="AV39" s="134"/>
      <c r="AW39" s="572" t="s">
        <v>179</v>
      </c>
      <c r="AX39" s="134"/>
      <c r="AY39" s="134"/>
      <c r="AZ39" s="134"/>
      <c r="BA39" s="134"/>
      <c r="BB39" s="134"/>
      <c r="BC39" s="134"/>
      <c r="BD39" s="134"/>
      <c r="BE39" s="134"/>
    </row>
    <row r="40" spans="1:57" ht="19.2" x14ac:dyDescent="0.3">
      <c r="A40" s="22"/>
      <c r="B40" s="258"/>
      <c r="C40" s="105"/>
      <c r="F40" s="22"/>
      <c r="G40" s="609" t="s">
        <v>128</v>
      </c>
      <c r="H40" s="610"/>
      <c r="I40" s="610"/>
      <c r="J40" s="610"/>
      <c r="K40" s="610"/>
      <c r="L40" s="610"/>
      <c r="M40" s="610"/>
      <c r="N40" s="610"/>
      <c r="O40" s="60"/>
      <c r="P40" s="227">
        <f>IF(P39&gt;20,2,HLOOKUP(P39,A44:V45,2))</f>
        <v>2</v>
      </c>
      <c r="Q40" s="154"/>
      <c r="R40" s="154"/>
      <c r="AV40" s="184" t="s">
        <v>164</v>
      </c>
      <c r="AW40" s="573"/>
      <c r="AX40" s="183" t="s">
        <v>167</v>
      </c>
      <c r="AY40" s="162" t="s">
        <v>161</v>
      </c>
      <c r="AZ40" s="163"/>
      <c r="BA40" s="164">
        <f>(MAX(N161:N163,S161:S163)/100)/2</f>
        <v>3.2500000000000003E-3</v>
      </c>
      <c r="BB40" s="165" t="s">
        <v>236</v>
      </c>
      <c r="BC40" s="185">
        <v>1</v>
      </c>
      <c r="BD40" s="166">
        <f>BA40*BC40</f>
        <v>3.2500000000000003E-3</v>
      </c>
      <c r="BE40" s="167">
        <v>100</v>
      </c>
    </row>
    <row r="41" spans="1:57" ht="19.2" x14ac:dyDescent="0.3">
      <c r="A41" s="22"/>
      <c r="B41" s="105"/>
      <c r="C41" s="105"/>
      <c r="F41" s="22"/>
      <c r="AV41" s="168" t="s">
        <v>165</v>
      </c>
      <c r="AW41" s="573"/>
      <c r="AX41" s="169" t="s">
        <v>181</v>
      </c>
      <c r="AY41" s="169" t="s">
        <v>168</v>
      </c>
      <c r="AZ41" s="169"/>
      <c r="BA41" s="170">
        <f>(L4/100)/SQRT(12)</f>
        <v>0</v>
      </c>
      <c r="BB41" s="171" t="str">
        <f>BB40</f>
        <v>%</v>
      </c>
      <c r="BC41" s="186">
        <v>1</v>
      </c>
      <c r="BD41" s="172">
        <f>BA41*BC41</f>
        <v>0</v>
      </c>
      <c r="BE41" s="173">
        <v>100</v>
      </c>
    </row>
    <row r="42" spans="1:57" ht="16.2" thickBot="1" x14ac:dyDescent="0.35">
      <c r="A42" s="22"/>
      <c r="B42" s="105"/>
      <c r="C42" s="105"/>
      <c r="F42" s="22"/>
      <c r="AV42" s="581" t="s">
        <v>166</v>
      </c>
      <c r="AW42" s="573"/>
      <c r="AX42" s="174" t="s">
        <v>135</v>
      </c>
      <c r="AY42" s="174" t="s">
        <v>169</v>
      </c>
      <c r="AZ42" s="174"/>
      <c r="BA42" s="566">
        <f>((MAX(J4:K4)-MIN(J4:K4))/100)/SQRT(24)</f>
        <v>2.6108902297107545E-4</v>
      </c>
      <c r="BB42" s="577" t="str">
        <f>BB41</f>
        <v>%</v>
      </c>
      <c r="BC42" s="575">
        <v>1</v>
      </c>
      <c r="BD42" s="566">
        <f>BA42*BC42</f>
        <v>2.6108902297107545E-4</v>
      </c>
      <c r="BE42" s="586">
        <v>1</v>
      </c>
    </row>
    <row r="43" spans="1:57" ht="13.8" thickBot="1" x14ac:dyDescent="0.3">
      <c r="A43" s="599" t="s">
        <v>40</v>
      </c>
      <c r="B43" s="600"/>
      <c r="C43" s="600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1"/>
      <c r="AV43" s="582"/>
      <c r="AW43" s="574"/>
      <c r="AX43" s="178"/>
      <c r="AY43" s="178"/>
      <c r="AZ43" s="178"/>
      <c r="BA43" s="567"/>
      <c r="BB43" s="578"/>
      <c r="BC43" s="576"/>
      <c r="BD43" s="567"/>
      <c r="BE43" s="587"/>
    </row>
    <row r="44" spans="1:57" ht="13.8" x14ac:dyDescent="0.25">
      <c r="A44" s="47" t="s">
        <v>41</v>
      </c>
      <c r="B44" s="48">
        <v>1</v>
      </c>
      <c r="C44" s="48">
        <v>2</v>
      </c>
      <c r="D44" s="48">
        <v>3</v>
      </c>
      <c r="E44" s="48">
        <v>4</v>
      </c>
      <c r="F44" s="48">
        <v>5</v>
      </c>
      <c r="G44" s="48">
        <v>6</v>
      </c>
      <c r="H44" s="49">
        <v>7</v>
      </c>
      <c r="I44" s="48">
        <v>8</v>
      </c>
      <c r="J44" s="49">
        <v>9</v>
      </c>
      <c r="K44" s="48">
        <v>10</v>
      </c>
      <c r="L44" s="49">
        <v>11</v>
      </c>
      <c r="M44" s="49">
        <v>12</v>
      </c>
      <c r="N44" s="49">
        <v>13</v>
      </c>
      <c r="O44" s="49">
        <v>14</v>
      </c>
      <c r="P44" s="49">
        <v>15</v>
      </c>
      <c r="Q44" s="49">
        <v>16</v>
      </c>
      <c r="R44" s="49">
        <v>17</v>
      </c>
      <c r="S44" s="49">
        <v>18</v>
      </c>
      <c r="T44" s="49">
        <v>19</v>
      </c>
      <c r="U44" s="48">
        <v>20</v>
      </c>
      <c r="V44" s="50" t="s">
        <v>42</v>
      </c>
      <c r="AV44" s="569" t="s">
        <v>162</v>
      </c>
      <c r="AW44" s="570"/>
      <c r="AX44" s="570"/>
      <c r="AY44" s="570"/>
      <c r="AZ44" s="570"/>
      <c r="BA44" s="570"/>
      <c r="BB44" s="570"/>
      <c r="BC44" s="571"/>
      <c r="BD44" s="264">
        <f>SQRT(SUMSQ(BD40:BD42))</f>
        <v>3.2604704381294417E-3</v>
      </c>
      <c r="BE44" s="182">
        <f>BD44^4/((BD40^4/BE40)+(BD41^4/BE41)+(BD42^4/BE42))</f>
        <v>100.87476101488259</v>
      </c>
    </row>
    <row r="45" spans="1:57" ht="13.8" thickBot="1" x14ac:dyDescent="0.3">
      <c r="A45" s="51" t="s">
        <v>43</v>
      </c>
      <c r="B45" s="52">
        <v>13.97</v>
      </c>
      <c r="C45" s="52">
        <v>4.53</v>
      </c>
      <c r="D45" s="52">
        <v>3.31</v>
      </c>
      <c r="E45" s="52">
        <v>2.87</v>
      </c>
      <c r="F45" s="52">
        <v>2.65</v>
      </c>
      <c r="G45" s="52">
        <v>2.52</v>
      </c>
      <c r="H45" s="53">
        <v>2.4300000000000002</v>
      </c>
      <c r="I45" s="52">
        <v>2.37</v>
      </c>
      <c r="J45" s="53">
        <v>2.3199999999999998</v>
      </c>
      <c r="K45" s="52">
        <v>2.2799999999999998</v>
      </c>
      <c r="L45" s="53">
        <v>2.25</v>
      </c>
      <c r="M45" s="53">
        <v>2.23</v>
      </c>
      <c r="N45" s="53">
        <v>2.21</v>
      </c>
      <c r="O45" s="53">
        <v>2.2000000000000002</v>
      </c>
      <c r="P45" s="53">
        <v>2.1800000000000002</v>
      </c>
      <c r="Q45" s="53">
        <v>2.17</v>
      </c>
      <c r="R45" s="53">
        <v>2.16</v>
      </c>
      <c r="S45" s="53">
        <v>2.15</v>
      </c>
      <c r="T45" s="53">
        <v>2.14</v>
      </c>
      <c r="U45" s="52">
        <v>2.13</v>
      </c>
      <c r="V45" s="54">
        <v>2</v>
      </c>
    </row>
    <row r="46" spans="1:57" ht="50.4" x14ac:dyDescent="0.25">
      <c r="B46" s="55"/>
      <c r="D46" s="43"/>
      <c r="AV46" s="134" t="s">
        <v>152</v>
      </c>
      <c r="AW46" s="134" t="s">
        <v>153</v>
      </c>
      <c r="AX46" s="134" t="s">
        <v>154</v>
      </c>
      <c r="AY46" s="134" t="s">
        <v>155</v>
      </c>
      <c r="AZ46" s="134" t="s">
        <v>156</v>
      </c>
      <c r="BA46" s="134" t="s">
        <v>157</v>
      </c>
      <c r="BB46" s="134" t="s">
        <v>158</v>
      </c>
      <c r="BC46" s="134" t="s">
        <v>159</v>
      </c>
      <c r="BD46" s="134" t="s">
        <v>160</v>
      </c>
      <c r="BE46" s="134" t="s">
        <v>114</v>
      </c>
    </row>
    <row r="47" spans="1:57" ht="20.399999999999999" x14ac:dyDescent="0.35">
      <c r="A47" s="45"/>
      <c r="B47" s="107"/>
      <c r="D47" s="43"/>
      <c r="AV47" s="134"/>
      <c r="AW47" s="572" t="s">
        <v>180</v>
      </c>
      <c r="AX47" s="134"/>
      <c r="AY47" s="134"/>
      <c r="AZ47" s="134"/>
      <c r="BA47" s="134"/>
      <c r="BB47" s="134"/>
      <c r="BC47" s="134"/>
      <c r="BD47" s="134"/>
      <c r="BE47" s="134"/>
    </row>
    <row r="48" spans="1:57" ht="20.399999999999999" x14ac:dyDescent="0.35">
      <c r="A48" s="45"/>
      <c r="B48" s="107"/>
      <c r="D48" s="43"/>
      <c r="AV48" s="184" t="s">
        <v>164</v>
      </c>
      <c r="AW48" s="573"/>
      <c r="AX48" s="183" t="s">
        <v>167</v>
      </c>
      <c r="AY48" s="162" t="s">
        <v>161</v>
      </c>
      <c r="AZ48" s="163"/>
      <c r="BA48" s="164">
        <f>MAX(N176:N178,S176:S178)/2</f>
        <v>0.12</v>
      </c>
      <c r="BB48" s="165" t="s">
        <v>19</v>
      </c>
      <c r="BC48" s="185">
        <v>1</v>
      </c>
      <c r="BD48" s="166">
        <f>BA48*BC48</f>
        <v>0.12</v>
      </c>
      <c r="BE48" s="167">
        <v>100</v>
      </c>
    </row>
    <row r="49" spans="1:57" ht="20.399999999999999" x14ac:dyDescent="0.35">
      <c r="A49" s="45"/>
      <c r="B49" s="107"/>
      <c r="D49" s="43"/>
      <c r="AV49" s="168" t="s">
        <v>165</v>
      </c>
      <c r="AW49" s="573"/>
      <c r="AX49" s="169" t="s">
        <v>181</v>
      </c>
      <c r="AY49" s="169" t="s">
        <v>168</v>
      </c>
      <c r="AZ49" s="169"/>
      <c r="BA49" s="170">
        <f>L5/SQRT(12)</f>
        <v>0</v>
      </c>
      <c r="BB49" s="171" t="str">
        <f>BB48</f>
        <v>Pa</v>
      </c>
      <c r="BC49" s="186">
        <v>1</v>
      </c>
      <c r="BD49" s="172">
        <f>BA49*BC49</f>
        <v>0</v>
      </c>
      <c r="BE49" s="173">
        <v>100</v>
      </c>
    </row>
    <row r="50" spans="1:57" ht="12.75" customHeight="1" x14ac:dyDescent="0.25">
      <c r="A50" s="42"/>
      <c r="B50" s="43"/>
      <c r="D50" s="43"/>
      <c r="AV50" s="255" t="s">
        <v>166</v>
      </c>
      <c r="AW50" s="573"/>
      <c r="AX50" s="174" t="s">
        <v>135</v>
      </c>
      <c r="AY50" s="174" t="s">
        <v>169</v>
      </c>
      <c r="AZ50" s="174"/>
      <c r="BA50" s="247">
        <f>(MAX(J5:K5)-MIN(J5:K5))/SQRT(2)</f>
        <v>0</v>
      </c>
      <c r="BB50" s="253" t="str">
        <f>BB49</f>
        <v>Pa</v>
      </c>
      <c r="BC50" s="251">
        <v>1</v>
      </c>
      <c r="BD50" s="247">
        <f>BA50*BC50</f>
        <v>0</v>
      </c>
      <c r="BE50" s="249">
        <v>1</v>
      </c>
    </row>
    <row r="51" spans="1:57" ht="12.75" customHeight="1" x14ac:dyDescent="0.25">
      <c r="D51" s="108"/>
      <c r="AV51" s="256"/>
      <c r="AW51" s="574"/>
      <c r="AX51" s="178"/>
      <c r="AY51" s="178"/>
      <c r="AZ51" s="178"/>
      <c r="BA51" s="248"/>
      <c r="BB51" s="254"/>
      <c r="BC51" s="252"/>
      <c r="BD51" s="248"/>
      <c r="BE51" s="250"/>
    </row>
    <row r="52" spans="1:57" x14ac:dyDescent="0.25">
      <c r="AV52" s="569" t="s">
        <v>162</v>
      </c>
      <c r="AW52" s="570"/>
      <c r="AX52" s="570"/>
      <c r="AY52" s="570"/>
      <c r="AZ52" s="570"/>
      <c r="BA52" s="570"/>
      <c r="BB52" s="570"/>
      <c r="BC52" s="571"/>
      <c r="BD52" s="265">
        <f>SQRT(SUMSQ(BD48:BD50))</f>
        <v>0.12</v>
      </c>
      <c r="BE52" s="182">
        <f>BD52^4/((BD48^4/BE48)+(BD49^4/BE49)+(BD50^4/BE50))</f>
        <v>100</v>
      </c>
    </row>
    <row r="55" spans="1:57" ht="20.399999999999999" x14ac:dyDescent="0.35">
      <c r="A55" s="120"/>
      <c r="B55" s="55"/>
      <c r="C55" s="63"/>
      <c r="AV55" s="568" t="s">
        <v>203</v>
      </c>
      <c r="AW55" s="568"/>
      <c r="AX55" s="568"/>
      <c r="AY55" s="568"/>
      <c r="AZ55" s="568"/>
      <c r="BA55" s="568"/>
      <c r="BB55" s="568"/>
      <c r="BC55" s="568"/>
      <c r="BD55" s="568"/>
      <c r="BE55" s="568"/>
    </row>
    <row r="56" spans="1:57" ht="20.399999999999999" x14ac:dyDescent="0.35">
      <c r="A56" s="120"/>
      <c r="B56" s="121"/>
      <c r="C56" s="55"/>
    </row>
    <row r="57" spans="1:57" ht="50.4" x14ac:dyDescent="0.35">
      <c r="A57" s="45"/>
      <c r="AV57" s="134" t="s">
        <v>152</v>
      </c>
      <c r="AW57" s="134" t="s">
        <v>153</v>
      </c>
      <c r="AX57" s="134" t="s">
        <v>154</v>
      </c>
      <c r="AY57" s="134" t="s">
        <v>155</v>
      </c>
      <c r="AZ57" s="134" t="s">
        <v>156</v>
      </c>
      <c r="BA57" s="134" t="s">
        <v>157</v>
      </c>
      <c r="BB57" s="134" t="s">
        <v>158</v>
      </c>
      <c r="BC57" s="134" t="s">
        <v>159</v>
      </c>
      <c r="BD57" s="134" t="s">
        <v>160</v>
      </c>
      <c r="BE57" s="134" t="s">
        <v>114</v>
      </c>
    </row>
    <row r="58" spans="1:57" ht="20.399999999999999" x14ac:dyDescent="0.35">
      <c r="A58" s="120"/>
      <c r="B58" s="129"/>
      <c r="C58" s="63"/>
      <c r="D58" s="130"/>
      <c r="E58" s="55"/>
      <c r="F58" s="55"/>
      <c r="G58" s="55"/>
      <c r="AV58" s="134"/>
      <c r="AW58" s="572" t="s">
        <v>178</v>
      </c>
      <c r="AX58" s="134"/>
      <c r="AY58" s="134"/>
      <c r="AZ58" s="134"/>
      <c r="BA58" s="134"/>
      <c r="BB58" s="134"/>
      <c r="BC58" s="134"/>
      <c r="BD58" s="134"/>
      <c r="BE58" s="134"/>
    </row>
    <row r="59" spans="1:57" ht="20.399999999999999" x14ac:dyDescent="0.35">
      <c r="A59" s="55"/>
      <c r="B59" s="55"/>
      <c r="C59" s="55"/>
      <c r="D59" s="55"/>
      <c r="E59" s="120"/>
      <c r="F59" s="107"/>
      <c r="G59" s="63"/>
      <c r="AV59" s="184" t="s">
        <v>164</v>
      </c>
      <c r="AW59" s="573"/>
      <c r="AX59" s="183" t="s">
        <v>167</v>
      </c>
      <c r="AY59" s="162" t="s">
        <v>161</v>
      </c>
      <c r="AZ59" s="163"/>
      <c r="BA59" s="164">
        <f>MAX('punto 1'!F143:F145)/2</f>
        <v>0.01</v>
      </c>
      <c r="BB59" s="327" t="s">
        <v>237</v>
      </c>
      <c r="BC59" s="185">
        <v>1</v>
      </c>
      <c r="BD59" s="166">
        <f>BA59*BC59</f>
        <v>0.01</v>
      </c>
      <c r="BE59" s="167">
        <v>100</v>
      </c>
    </row>
    <row r="60" spans="1:57" ht="19.2" x14ac:dyDescent="0.25">
      <c r="AV60" s="168" t="s">
        <v>204</v>
      </c>
      <c r="AW60" s="573"/>
      <c r="AX60" s="169" t="s">
        <v>206</v>
      </c>
      <c r="AY60" s="169" t="s">
        <v>168</v>
      </c>
      <c r="AZ60" s="169"/>
      <c r="BA60" s="170">
        <f>Datos!G9/SQRT(12)</f>
        <v>2.886751345948129E-4</v>
      </c>
      <c r="BB60" s="171" t="str">
        <f>BB59</f>
        <v>0C</v>
      </c>
      <c r="BC60" s="186">
        <v>1</v>
      </c>
      <c r="BD60" s="172">
        <f>BA60*BC60</f>
        <v>2.886751345948129E-4</v>
      </c>
      <c r="BE60" s="173">
        <v>100</v>
      </c>
    </row>
    <row r="61" spans="1:57" ht="28.8" x14ac:dyDescent="0.25">
      <c r="AV61" s="255" t="s">
        <v>205</v>
      </c>
      <c r="AW61" s="573"/>
      <c r="AX61" s="174" t="s">
        <v>135</v>
      </c>
      <c r="AY61" s="174" t="s">
        <v>169</v>
      </c>
      <c r="AZ61" s="174"/>
      <c r="BA61" s="566">
        <f>STDEVA(D20:D24)/SQRT(5)</f>
        <v>1.2026554342775768E-7</v>
      </c>
      <c r="BB61" s="253" t="str">
        <f>BB60</f>
        <v>0C</v>
      </c>
      <c r="BC61" s="251">
        <v>1</v>
      </c>
      <c r="BD61" s="247">
        <f>BA61*BC61</f>
        <v>1.2026554342775768E-7</v>
      </c>
      <c r="BE61" s="249">
        <v>4</v>
      </c>
    </row>
    <row r="62" spans="1:57" ht="15" customHeight="1" x14ac:dyDescent="0.25">
      <c r="AV62" s="256"/>
      <c r="AW62" s="574"/>
      <c r="AX62" s="178"/>
      <c r="AY62" s="178"/>
      <c r="AZ62" s="178"/>
      <c r="BA62" s="567"/>
      <c r="BB62" s="254"/>
      <c r="BC62" s="252"/>
      <c r="BD62" s="248"/>
      <c r="BE62" s="250"/>
    </row>
    <row r="63" spans="1:57" x14ac:dyDescent="0.25">
      <c r="AV63" s="569" t="s">
        <v>162</v>
      </c>
      <c r="AW63" s="570"/>
      <c r="AX63" s="570"/>
      <c r="AY63" s="570"/>
      <c r="AZ63" s="570"/>
      <c r="BA63" s="570"/>
      <c r="BB63" s="570"/>
      <c r="BC63" s="571"/>
      <c r="BD63" s="264">
        <f>SQRT(SUMSQ(BD59:BD61))</f>
        <v>1.0004165799695501E-2</v>
      </c>
      <c r="BE63" s="182">
        <f>BD63^4/((BD59^4/BE59)+(BD60^4/BE60)+(BD61^4/BE61))</f>
        <v>100.16666657987768</v>
      </c>
    </row>
    <row r="77" spans="1:18" ht="17.399999999999999" x14ac:dyDescent="0.3">
      <c r="B77" s="242"/>
      <c r="C77" s="242"/>
      <c r="D77" s="242"/>
      <c r="E77" s="242"/>
    </row>
    <row r="79" spans="1:18" ht="15.6" x14ac:dyDescent="0.3">
      <c r="A79" s="124"/>
      <c r="B79" s="593"/>
      <c r="C79" s="593"/>
      <c r="D79" s="593"/>
      <c r="E79" s="593"/>
    </row>
    <row r="80" spans="1:18" x14ac:dyDescent="0.25">
      <c r="A80" s="124"/>
      <c r="B80" s="200"/>
      <c r="C80" s="201"/>
      <c r="D80" s="202"/>
      <c r="E80" s="201"/>
      <c r="G80" s="70" t="s">
        <v>3</v>
      </c>
      <c r="H80" s="70" t="s">
        <v>4</v>
      </c>
      <c r="I80" s="23">
        <f>$D$20</f>
        <v>3.7058964238727427E-3</v>
      </c>
      <c r="J80" s="23">
        <f>$D$21</f>
        <v>3.7052984092811867E-3</v>
      </c>
      <c r="K80" s="23">
        <f>$D$22</f>
        <v>3.7052984092811867E-3</v>
      </c>
      <c r="L80" s="23">
        <f>$D$23</f>
        <v>3.7056572180361202E-3</v>
      </c>
      <c r="M80" s="23">
        <f>$D$24</f>
        <v>3.7057369533149941E-3</v>
      </c>
      <c r="N80" s="23">
        <f>$D$25</f>
        <v>0</v>
      </c>
      <c r="O80" s="23">
        <f>$D$26</f>
        <v>0</v>
      </c>
      <c r="P80" s="23">
        <f>$D$27</f>
        <v>0</v>
      </c>
      <c r="Q80" s="23">
        <f>$D$28</f>
        <v>0</v>
      </c>
      <c r="R80" s="23">
        <f>$D$29</f>
        <v>0</v>
      </c>
    </row>
    <row r="81" spans="1:18" x14ac:dyDescent="0.25">
      <c r="A81" s="124"/>
      <c r="B81" s="203"/>
      <c r="C81" s="199"/>
      <c r="D81" s="204"/>
      <c r="E81" s="204"/>
      <c r="G81" s="123">
        <v>18</v>
      </c>
      <c r="H81" s="122">
        <v>0.99859299999999995</v>
      </c>
      <c r="I81" s="60">
        <f t="shared" ref="I81:I121" si="2">IF($I$80=G81,H81,I82)</f>
        <v>0</v>
      </c>
      <c r="J81" s="60">
        <f t="shared" ref="J81:J121" si="3">IF($J$80=G81,H81,J82)</f>
        <v>0</v>
      </c>
      <c r="K81" s="60">
        <f t="shared" ref="K81:K121" si="4">IF($K$80=G81,H81,K82)</f>
        <v>0</v>
      </c>
      <c r="L81" s="60">
        <f t="shared" ref="L81:L121" si="5">IF($L$80=G81,H81,L82)</f>
        <v>0</v>
      </c>
      <c r="M81" s="60">
        <f t="shared" ref="M81:M121" si="6">IF($M$80=G81,H81,M82)</f>
        <v>0</v>
      </c>
      <c r="N81" s="60">
        <f t="shared" ref="N81:N121" si="7">IF($N$80=G81,H81,N82)</f>
        <v>0</v>
      </c>
      <c r="O81" s="60">
        <f t="shared" ref="O81:O121" si="8">IF($O$80=G81,H81,O82)</f>
        <v>0</v>
      </c>
      <c r="P81" s="60">
        <f t="shared" ref="P81:P121" si="9">IF($P$80=G81,H81,P82)</f>
        <v>0</v>
      </c>
      <c r="Q81" s="60">
        <f t="shared" ref="Q81:Q121" si="10">IF($Q$80=G81,H81,Q82)</f>
        <v>0</v>
      </c>
      <c r="R81" s="60">
        <f t="shared" ref="R81:R121" si="11">IF($R$80=G81,H81,R82)</f>
        <v>0</v>
      </c>
    </row>
    <row r="82" spans="1:18" x14ac:dyDescent="0.25">
      <c r="A82" s="124"/>
      <c r="B82" s="199"/>
      <c r="C82" s="205"/>
      <c r="D82" s="204"/>
      <c r="E82" s="204"/>
      <c r="G82" s="123">
        <v>18.100000000000001</v>
      </c>
      <c r="H82" s="122">
        <v>0.99857399999999996</v>
      </c>
      <c r="I82" s="60">
        <f t="shared" si="2"/>
        <v>0</v>
      </c>
      <c r="J82" s="60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0">
        <f t="shared" si="8"/>
        <v>0</v>
      </c>
      <c r="P82" s="60">
        <f t="shared" si="9"/>
        <v>0</v>
      </c>
      <c r="Q82" s="60">
        <f t="shared" si="10"/>
        <v>0</v>
      </c>
      <c r="R82" s="60">
        <f t="shared" si="11"/>
        <v>0</v>
      </c>
    </row>
    <row r="83" spans="1:18" x14ac:dyDescent="0.25">
      <c r="A83" s="124"/>
      <c r="B83" s="203"/>
      <c r="C83" s="199"/>
      <c r="D83" s="204"/>
      <c r="E83" s="204"/>
      <c r="G83" s="123">
        <v>18.2</v>
      </c>
      <c r="H83" s="122">
        <v>0.99855499999999997</v>
      </c>
      <c r="I83" s="60">
        <f t="shared" si="2"/>
        <v>0</v>
      </c>
      <c r="J83" s="60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0">
        <f t="shared" si="8"/>
        <v>0</v>
      </c>
      <c r="P83" s="60">
        <f t="shared" si="9"/>
        <v>0</v>
      </c>
      <c r="Q83" s="60">
        <f t="shared" si="10"/>
        <v>0</v>
      </c>
      <c r="R83" s="60">
        <f t="shared" si="11"/>
        <v>0</v>
      </c>
    </row>
    <row r="84" spans="1:18" x14ac:dyDescent="0.25">
      <c r="A84" s="124"/>
      <c r="B84" s="124"/>
      <c r="C84" s="124"/>
      <c r="D84" s="124"/>
      <c r="E84" s="124"/>
      <c r="G84" s="123">
        <v>18.3</v>
      </c>
      <c r="H84" s="122">
        <v>0.99853599999999998</v>
      </c>
      <c r="I84" s="60">
        <f t="shared" si="2"/>
        <v>0</v>
      </c>
      <c r="J84" s="60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0">
        <f t="shared" si="8"/>
        <v>0</v>
      </c>
      <c r="P84" s="60">
        <f t="shared" si="9"/>
        <v>0</v>
      </c>
      <c r="Q84" s="60">
        <f t="shared" si="10"/>
        <v>0</v>
      </c>
      <c r="R84" s="60">
        <f t="shared" si="11"/>
        <v>0</v>
      </c>
    </row>
    <row r="85" spans="1:18" ht="15.6" x14ac:dyDescent="0.3">
      <c r="A85" s="124"/>
      <c r="B85" s="198"/>
      <c r="C85" s="198"/>
      <c r="D85" s="198"/>
      <c r="E85" s="125"/>
      <c r="G85" s="123">
        <v>18.399999999999999</v>
      </c>
      <c r="H85" s="122">
        <v>0.99851699999999999</v>
      </c>
      <c r="I85" s="60">
        <f t="shared" si="2"/>
        <v>0</v>
      </c>
      <c r="J85" s="60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0">
        <f t="shared" si="8"/>
        <v>0</v>
      </c>
      <c r="P85" s="60">
        <f t="shared" si="9"/>
        <v>0</v>
      </c>
      <c r="Q85" s="60">
        <f t="shared" si="10"/>
        <v>0</v>
      </c>
      <c r="R85" s="60">
        <f t="shared" si="11"/>
        <v>0</v>
      </c>
    </row>
    <row r="86" spans="1:18" x14ac:dyDescent="0.25">
      <c r="A86" s="126"/>
      <c r="B86" s="202"/>
      <c r="C86" s="202"/>
      <c r="D86" s="202"/>
      <c r="E86" s="126"/>
      <c r="G86" s="123">
        <v>18.5</v>
      </c>
      <c r="H86" s="122">
        <v>0.998498</v>
      </c>
      <c r="I86" s="60">
        <f t="shared" si="2"/>
        <v>0</v>
      </c>
      <c r="J86" s="60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0">
        <f t="shared" si="8"/>
        <v>0</v>
      </c>
      <c r="P86" s="60">
        <f t="shared" si="9"/>
        <v>0</v>
      </c>
      <c r="Q86" s="60">
        <f t="shared" si="10"/>
        <v>0</v>
      </c>
      <c r="R86" s="60">
        <f t="shared" si="11"/>
        <v>0</v>
      </c>
    </row>
    <row r="87" spans="1:18" x14ac:dyDescent="0.25">
      <c r="A87" s="127"/>
      <c r="B87" s="209"/>
      <c r="C87" s="209"/>
      <c r="D87" s="209"/>
      <c r="E87" s="127"/>
      <c r="G87" s="123">
        <v>18.600000000000001</v>
      </c>
      <c r="H87" s="122">
        <v>0.99847900000000001</v>
      </c>
      <c r="I87" s="60">
        <f t="shared" si="2"/>
        <v>0</v>
      </c>
      <c r="J87" s="60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0">
        <f t="shared" si="8"/>
        <v>0</v>
      </c>
      <c r="P87" s="60">
        <f t="shared" si="9"/>
        <v>0</v>
      </c>
      <c r="Q87" s="60">
        <f t="shared" si="10"/>
        <v>0</v>
      </c>
      <c r="R87" s="60">
        <f t="shared" si="11"/>
        <v>0</v>
      </c>
    </row>
    <row r="88" spans="1:18" x14ac:dyDescent="0.25">
      <c r="A88" s="127"/>
      <c r="B88" s="209"/>
      <c r="C88" s="209"/>
      <c r="D88" s="209"/>
      <c r="E88" s="127"/>
      <c r="G88" s="123">
        <v>18.7</v>
      </c>
      <c r="H88" s="122">
        <v>0.99846000000000001</v>
      </c>
      <c r="I88" s="60">
        <f t="shared" si="2"/>
        <v>0</v>
      </c>
      <c r="J88" s="60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0">
        <f t="shared" si="8"/>
        <v>0</v>
      </c>
      <c r="P88" s="60">
        <f t="shared" si="9"/>
        <v>0</v>
      </c>
      <c r="Q88" s="60">
        <f t="shared" si="10"/>
        <v>0</v>
      </c>
      <c r="R88" s="60">
        <f t="shared" si="11"/>
        <v>0</v>
      </c>
    </row>
    <row r="89" spans="1:18" x14ac:dyDescent="0.25">
      <c r="A89" s="127"/>
      <c r="B89" s="209"/>
      <c r="C89" s="209"/>
      <c r="D89" s="209"/>
      <c r="E89" s="127"/>
      <c r="G89" s="123">
        <v>18.8</v>
      </c>
      <c r="H89" s="122">
        <v>0.99844100000000002</v>
      </c>
      <c r="I89" s="60">
        <f t="shared" si="2"/>
        <v>0</v>
      </c>
      <c r="J89" s="60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0">
        <f t="shared" si="8"/>
        <v>0</v>
      </c>
      <c r="P89" s="60">
        <f t="shared" si="9"/>
        <v>0</v>
      </c>
      <c r="Q89" s="60">
        <f t="shared" si="10"/>
        <v>0</v>
      </c>
      <c r="R89" s="60">
        <f t="shared" si="11"/>
        <v>0</v>
      </c>
    </row>
    <row r="90" spans="1:18" x14ac:dyDescent="0.25">
      <c r="A90" s="127"/>
      <c r="B90" s="209"/>
      <c r="C90" s="209"/>
      <c r="D90" s="209"/>
      <c r="E90" s="127"/>
      <c r="G90" s="123">
        <v>18.899999999999999</v>
      </c>
      <c r="H90" s="122">
        <v>0.99842200000000003</v>
      </c>
      <c r="I90" s="60">
        <f t="shared" si="2"/>
        <v>0</v>
      </c>
      <c r="J90" s="60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0">
        <f t="shared" si="8"/>
        <v>0</v>
      </c>
      <c r="P90" s="60">
        <f t="shared" si="9"/>
        <v>0</v>
      </c>
      <c r="Q90" s="60">
        <f t="shared" si="10"/>
        <v>0</v>
      </c>
      <c r="R90" s="60">
        <f t="shared" si="11"/>
        <v>0</v>
      </c>
    </row>
    <row r="91" spans="1:18" x14ac:dyDescent="0.25">
      <c r="A91" s="127"/>
      <c r="B91" s="209"/>
      <c r="C91" s="209"/>
      <c r="D91" s="209"/>
      <c r="E91" s="127"/>
      <c r="G91" s="123">
        <v>19</v>
      </c>
      <c r="H91" s="122">
        <v>0.99840300000000004</v>
      </c>
      <c r="I91" s="60">
        <f t="shared" si="2"/>
        <v>0</v>
      </c>
      <c r="J91" s="60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0">
        <f t="shared" si="8"/>
        <v>0</v>
      </c>
      <c r="P91" s="60">
        <f t="shared" si="9"/>
        <v>0</v>
      </c>
      <c r="Q91" s="60">
        <f t="shared" si="10"/>
        <v>0</v>
      </c>
      <c r="R91" s="60">
        <f t="shared" si="11"/>
        <v>0</v>
      </c>
    </row>
    <row r="92" spans="1:18" x14ac:dyDescent="0.25">
      <c r="A92" s="127"/>
      <c r="B92" s="209"/>
      <c r="C92" s="209"/>
      <c r="D92" s="209"/>
      <c r="E92" s="127"/>
      <c r="G92" s="123">
        <v>19.100000000000001</v>
      </c>
      <c r="H92" s="122">
        <v>0.99838300000000002</v>
      </c>
      <c r="I92" s="60">
        <f t="shared" si="2"/>
        <v>0</v>
      </c>
      <c r="J92" s="60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0">
        <f t="shared" si="8"/>
        <v>0</v>
      </c>
      <c r="P92" s="60">
        <f t="shared" si="9"/>
        <v>0</v>
      </c>
      <c r="Q92" s="60">
        <f t="shared" si="10"/>
        <v>0</v>
      </c>
      <c r="R92" s="60">
        <f t="shared" si="11"/>
        <v>0</v>
      </c>
    </row>
    <row r="93" spans="1:18" x14ac:dyDescent="0.25">
      <c r="A93" s="127"/>
      <c r="B93" s="209"/>
      <c r="C93" s="209"/>
      <c r="D93" s="209"/>
      <c r="E93" s="127"/>
      <c r="G93" s="123">
        <v>19.2</v>
      </c>
      <c r="H93" s="122">
        <v>0.998363</v>
      </c>
      <c r="I93" s="60">
        <f t="shared" si="2"/>
        <v>0</v>
      </c>
      <c r="J93" s="60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0">
        <f t="shared" si="8"/>
        <v>0</v>
      </c>
      <c r="P93" s="60">
        <f t="shared" si="9"/>
        <v>0</v>
      </c>
      <c r="Q93" s="60">
        <f t="shared" si="10"/>
        <v>0</v>
      </c>
      <c r="R93" s="60">
        <f t="shared" si="11"/>
        <v>0</v>
      </c>
    </row>
    <row r="94" spans="1:18" x14ac:dyDescent="0.25">
      <c r="G94" s="123">
        <v>19.3</v>
      </c>
      <c r="H94" s="122">
        <v>0.99834299999999998</v>
      </c>
      <c r="I94" s="60">
        <f t="shared" si="2"/>
        <v>0</v>
      </c>
      <c r="J94" s="60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0">
        <f t="shared" si="8"/>
        <v>0</v>
      </c>
      <c r="P94" s="60">
        <f t="shared" si="9"/>
        <v>0</v>
      </c>
      <c r="Q94" s="60">
        <f t="shared" si="10"/>
        <v>0</v>
      </c>
      <c r="R94" s="60">
        <f t="shared" si="11"/>
        <v>0</v>
      </c>
    </row>
    <row r="95" spans="1:18" ht="17.399999999999999" x14ac:dyDescent="0.3">
      <c r="A95" s="64"/>
      <c r="B95" s="588"/>
      <c r="C95" s="588"/>
      <c r="D95" s="588"/>
      <c r="E95" s="588"/>
      <c r="G95" s="123">
        <v>19.399999999999999</v>
      </c>
      <c r="H95" s="122">
        <v>0.99832299999999996</v>
      </c>
      <c r="I95" s="60">
        <f t="shared" si="2"/>
        <v>0</v>
      </c>
      <c r="J95" s="60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0">
        <f t="shared" si="8"/>
        <v>0</v>
      </c>
      <c r="P95" s="60">
        <f t="shared" si="9"/>
        <v>0</v>
      </c>
      <c r="Q95" s="60">
        <f t="shared" si="10"/>
        <v>0</v>
      </c>
      <c r="R95" s="60">
        <f t="shared" si="11"/>
        <v>0</v>
      </c>
    </row>
    <row r="96" spans="1:18" x14ac:dyDescent="0.25">
      <c r="A96" s="64"/>
      <c r="B96" s="64"/>
      <c r="C96" s="64"/>
      <c r="D96" s="64"/>
      <c r="E96" s="64"/>
      <c r="G96" s="123">
        <v>19.5</v>
      </c>
      <c r="H96" s="122">
        <v>0.99830300000000005</v>
      </c>
      <c r="I96" s="60">
        <f t="shared" si="2"/>
        <v>0</v>
      </c>
      <c r="J96" s="60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0">
        <f t="shared" si="8"/>
        <v>0</v>
      </c>
      <c r="P96" s="60">
        <f t="shared" si="9"/>
        <v>0</v>
      </c>
      <c r="Q96" s="60">
        <f t="shared" si="10"/>
        <v>0</v>
      </c>
      <c r="R96" s="60">
        <f t="shared" si="11"/>
        <v>0</v>
      </c>
    </row>
    <row r="97" spans="1:18" ht="15.6" x14ac:dyDescent="0.3">
      <c r="A97" s="199"/>
      <c r="B97" s="565"/>
      <c r="C97" s="565"/>
      <c r="D97" s="565"/>
      <c r="E97" s="565"/>
      <c r="G97" s="123">
        <v>19.600000000000001</v>
      </c>
      <c r="H97" s="122">
        <v>0.998282</v>
      </c>
      <c r="I97" s="60">
        <f t="shared" si="2"/>
        <v>0</v>
      </c>
      <c r="J97" s="60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0">
        <f t="shared" si="8"/>
        <v>0</v>
      </c>
      <c r="P97" s="60">
        <f t="shared" si="9"/>
        <v>0</v>
      </c>
      <c r="Q97" s="60">
        <f t="shared" si="10"/>
        <v>0</v>
      </c>
      <c r="R97" s="60">
        <f t="shared" si="11"/>
        <v>0</v>
      </c>
    </row>
    <row r="98" spans="1:18" x14ac:dyDescent="0.25">
      <c r="A98" s="199"/>
      <c r="B98" s="200"/>
      <c r="C98" s="201"/>
      <c r="D98" s="202"/>
      <c r="E98" s="201"/>
      <c r="G98" s="123">
        <v>19.7</v>
      </c>
      <c r="H98" s="122">
        <v>0.99826199999999998</v>
      </c>
      <c r="I98" s="60">
        <f t="shared" si="2"/>
        <v>0</v>
      </c>
      <c r="J98" s="60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0">
        <f t="shared" si="8"/>
        <v>0</v>
      </c>
      <c r="P98" s="60">
        <f t="shared" si="9"/>
        <v>0</v>
      </c>
      <c r="Q98" s="60">
        <f t="shared" si="10"/>
        <v>0</v>
      </c>
      <c r="R98" s="60">
        <f t="shared" si="11"/>
        <v>0</v>
      </c>
    </row>
    <row r="99" spans="1:18" x14ac:dyDescent="0.25">
      <c r="A99" s="199"/>
      <c r="B99" s="203"/>
      <c r="C99" s="199"/>
      <c r="D99" s="204"/>
      <c r="E99" s="204"/>
      <c r="G99" s="123">
        <v>19.8</v>
      </c>
      <c r="H99" s="122">
        <v>0.99824199999999996</v>
      </c>
      <c r="I99" s="60">
        <f t="shared" si="2"/>
        <v>0</v>
      </c>
      <c r="J99" s="60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0">
        <f t="shared" si="8"/>
        <v>0</v>
      </c>
      <c r="P99" s="60">
        <f t="shared" si="9"/>
        <v>0</v>
      </c>
      <c r="Q99" s="60">
        <f t="shared" si="10"/>
        <v>0</v>
      </c>
      <c r="R99" s="60">
        <f t="shared" si="11"/>
        <v>0</v>
      </c>
    </row>
    <row r="100" spans="1:18" x14ac:dyDescent="0.25">
      <c r="A100" s="199"/>
      <c r="B100" s="199"/>
      <c r="C100" s="205"/>
      <c r="D100" s="204"/>
      <c r="E100" s="204"/>
      <c r="G100" s="123">
        <v>19.899999999999999</v>
      </c>
      <c r="H100" s="122">
        <v>0.99822200000000005</v>
      </c>
      <c r="I100" s="60">
        <f t="shared" si="2"/>
        <v>0</v>
      </c>
      <c r="J100" s="60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0">
        <f t="shared" si="8"/>
        <v>0</v>
      </c>
      <c r="P100" s="60">
        <f t="shared" si="9"/>
        <v>0</v>
      </c>
      <c r="Q100" s="60">
        <f t="shared" si="10"/>
        <v>0</v>
      </c>
      <c r="R100" s="60">
        <f t="shared" si="11"/>
        <v>0</v>
      </c>
    </row>
    <row r="101" spans="1:18" x14ac:dyDescent="0.25">
      <c r="A101" s="199"/>
      <c r="B101" s="203"/>
      <c r="C101" s="199"/>
      <c r="D101" s="204"/>
      <c r="E101" s="204"/>
      <c r="G101" s="123">
        <v>20</v>
      </c>
      <c r="H101" s="122">
        <v>0.99820200000000003</v>
      </c>
      <c r="I101" s="60">
        <f t="shared" si="2"/>
        <v>0</v>
      </c>
      <c r="J101" s="60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0">
        <f t="shared" si="8"/>
        <v>0</v>
      </c>
      <c r="P101" s="60">
        <f t="shared" si="9"/>
        <v>0</v>
      </c>
      <c r="Q101" s="60">
        <f t="shared" si="10"/>
        <v>0</v>
      </c>
      <c r="R101" s="60">
        <f t="shared" si="11"/>
        <v>0</v>
      </c>
    </row>
    <row r="102" spans="1:18" x14ac:dyDescent="0.25">
      <c r="A102" s="199"/>
      <c r="B102" s="199"/>
      <c r="C102" s="199"/>
      <c r="D102" s="199"/>
      <c r="E102" s="199"/>
      <c r="G102" s="123">
        <v>20.100000000000001</v>
      </c>
      <c r="H102" s="122">
        <v>0.99818099999999998</v>
      </c>
      <c r="I102" s="60">
        <f t="shared" si="2"/>
        <v>0</v>
      </c>
      <c r="J102" s="60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0">
        <f t="shared" si="8"/>
        <v>0</v>
      </c>
      <c r="P102" s="60">
        <f t="shared" si="9"/>
        <v>0</v>
      </c>
      <c r="Q102" s="60">
        <f t="shared" si="10"/>
        <v>0</v>
      </c>
      <c r="R102" s="60">
        <f t="shared" si="11"/>
        <v>0</v>
      </c>
    </row>
    <row r="103" spans="1:18" ht="15.6" x14ac:dyDescent="0.3">
      <c r="A103" s="199"/>
      <c r="B103" s="565"/>
      <c r="C103" s="565"/>
      <c r="D103" s="565"/>
      <c r="E103" s="206"/>
      <c r="G103" s="123">
        <v>20.2</v>
      </c>
      <c r="H103" s="122">
        <v>0.99816000000000005</v>
      </c>
      <c r="I103" s="60">
        <f t="shared" si="2"/>
        <v>0</v>
      </c>
      <c r="J103" s="60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0">
        <f t="shared" si="8"/>
        <v>0</v>
      </c>
      <c r="P103" s="60">
        <f t="shared" si="9"/>
        <v>0</v>
      </c>
      <c r="Q103" s="60">
        <f t="shared" si="10"/>
        <v>0</v>
      </c>
      <c r="R103" s="60">
        <f t="shared" si="11"/>
        <v>0</v>
      </c>
    </row>
    <row r="104" spans="1:18" x14ac:dyDescent="0.25">
      <c r="A104" s="207"/>
      <c r="B104" s="202"/>
      <c r="C104" s="202"/>
      <c r="D104" s="202"/>
      <c r="E104" s="207"/>
      <c r="G104" s="123">
        <v>20.3</v>
      </c>
      <c r="H104" s="122">
        <v>0.99813799999999997</v>
      </c>
      <c r="I104" s="60">
        <f t="shared" si="2"/>
        <v>0</v>
      </c>
      <c r="J104" s="60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0">
        <f t="shared" si="8"/>
        <v>0</v>
      </c>
      <c r="P104" s="60">
        <f t="shared" si="9"/>
        <v>0</v>
      </c>
      <c r="Q104" s="60">
        <f t="shared" si="10"/>
        <v>0</v>
      </c>
      <c r="R104" s="60">
        <f t="shared" si="11"/>
        <v>0</v>
      </c>
    </row>
    <row r="105" spans="1:18" x14ac:dyDescent="0.25">
      <c r="A105" s="208"/>
      <c r="B105" s="209"/>
      <c r="C105" s="209"/>
      <c r="D105" s="209"/>
      <c r="E105" s="208"/>
      <c r="G105" s="123">
        <v>20.399999999999999</v>
      </c>
      <c r="H105" s="122">
        <v>0.99811700000000003</v>
      </c>
      <c r="I105" s="60">
        <f t="shared" si="2"/>
        <v>0</v>
      </c>
      <c r="J105" s="60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0">
        <f t="shared" si="8"/>
        <v>0</v>
      </c>
      <c r="P105" s="60">
        <f t="shared" si="9"/>
        <v>0</v>
      </c>
      <c r="Q105" s="60">
        <f t="shared" si="10"/>
        <v>0</v>
      </c>
      <c r="R105" s="60">
        <f t="shared" si="11"/>
        <v>0</v>
      </c>
    </row>
    <row r="106" spans="1:18" x14ac:dyDescent="0.25">
      <c r="A106" s="208"/>
      <c r="B106" s="209"/>
      <c r="C106" s="209"/>
      <c r="D106" s="209"/>
      <c r="E106" s="208"/>
      <c r="G106" s="123">
        <v>20.5</v>
      </c>
      <c r="H106" s="122">
        <v>0.99809599999999998</v>
      </c>
      <c r="I106" s="60">
        <f t="shared" si="2"/>
        <v>0</v>
      </c>
      <c r="J106" s="60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0">
        <f t="shared" si="8"/>
        <v>0</v>
      </c>
      <c r="P106" s="60">
        <f t="shared" si="9"/>
        <v>0</v>
      </c>
      <c r="Q106" s="60">
        <f t="shared" si="10"/>
        <v>0</v>
      </c>
      <c r="R106" s="60">
        <f t="shared" si="11"/>
        <v>0</v>
      </c>
    </row>
    <row r="107" spans="1:18" x14ac:dyDescent="0.25">
      <c r="A107" s="208"/>
      <c r="B107" s="209"/>
      <c r="C107" s="209"/>
      <c r="D107" s="209"/>
      <c r="E107" s="208"/>
      <c r="G107" s="123">
        <v>20.6</v>
      </c>
      <c r="H107" s="122">
        <v>0.99807500000000005</v>
      </c>
      <c r="I107" s="60">
        <f t="shared" si="2"/>
        <v>0</v>
      </c>
      <c r="J107" s="60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0">
        <f t="shared" si="8"/>
        <v>0</v>
      </c>
      <c r="P107" s="60">
        <f t="shared" si="9"/>
        <v>0</v>
      </c>
      <c r="Q107" s="60">
        <f t="shared" si="10"/>
        <v>0</v>
      </c>
      <c r="R107" s="60">
        <f t="shared" si="11"/>
        <v>0</v>
      </c>
    </row>
    <row r="108" spans="1:18" x14ac:dyDescent="0.25">
      <c r="A108" s="208"/>
      <c r="B108" s="209"/>
      <c r="C108" s="209"/>
      <c r="D108" s="209"/>
      <c r="E108" s="208"/>
      <c r="G108" s="123">
        <v>20.7</v>
      </c>
      <c r="H108" s="122">
        <v>0.998054</v>
      </c>
      <c r="I108" s="60">
        <f t="shared" si="2"/>
        <v>0</v>
      </c>
      <c r="J108" s="60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0">
        <f t="shared" si="8"/>
        <v>0</v>
      </c>
      <c r="P108" s="60">
        <f t="shared" si="9"/>
        <v>0</v>
      </c>
      <c r="Q108" s="60">
        <f t="shared" si="10"/>
        <v>0</v>
      </c>
      <c r="R108" s="60">
        <f t="shared" si="11"/>
        <v>0</v>
      </c>
    </row>
    <row r="109" spans="1:18" x14ac:dyDescent="0.25">
      <c r="A109" s="208"/>
      <c r="B109" s="209"/>
      <c r="C109" s="209"/>
      <c r="D109" s="209"/>
      <c r="E109" s="208"/>
      <c r="G109" s="123">
        <v>20.8</v>
      </c>
      <c r="H109" s="122">
        <v>0.99803200000000003</v>
      </c>
      <c r="I109" s="60">
        <f t="shared" si="2"/>
        <v>0</v>
      </c>
      <c r="J109" s="60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0">
        <f t="shared" si="8"/>
        <v>0</v>
      </c>
      <c r="P109" s="60">
        <f t="shared" si="9"/>
        <v>0</v>
      </c>
      <c r="Q109" s="60">
        <f t="shared" si="10"/>
        <v>0</v>
      </c>
      <c r="R109" s="60">
        <f t="shared" si="11"/>
        <v>0</v>
      </c>
    </row>
    <row r="110" spans="1:18" x14ac:dyDescent="0.25">
      <c r="A110" s="208"/>
      <c r="B110" s="209"/>
      <c r="C110" s="209"/>
      <c r="D110" s="209"/>
      <c r="E110" s="208"/>
      <c r="G110" s="123">
        <v>20.9</v>
      </c>
      <c r="H110" s="122">
        <v>0.99801099999999998</v>
      </c>
      <c r="I110" s="60">
        <f t="shared" si="2"/>
        <v>0</v>
      </c>
      <c r="J110" s="60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0">
        <f t="shared" si="8"/>
        <v>0</v>
      </c>
      <c r="P110" s="60">
        <f t="shared" si="9"/>
        <v>0</v>
      </c>
      <c r="Q110" s="60">
        <f t="shared" si="10"/>
        <v>0</v>
      </c>
      <c r="R110" s="60">
        <f t="shared" si="11"/>
        <v>0</v>
      </c>
    </row>
    <row r="111" spans="1:18" x14ac:dyDescent="0.25">
      <c r="A111" s="208"/>
      <c r="B111" s="209"/>
      <c r="C111" s="209"/>
      <c r="D111" s="209"/>
      <c r="E111" s="208"/>
      <c r="G111" s="123">
        <v>21</v>
      </c>
      <c r="H111" s="122">
        <v>0.99799000000000004</v>
      </c>
      <c r="I111" s="60">
        <f t="shared" si="2"/>
        <v>0</v>
      </c>
      <c r="J111" s="60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0">
        <f t="shared" si="8"/>
        <v>0</v>
      </c>
      <c r="P111" s="60">
        <f t="shared" si="9"/>
        <v>0</v>
      </c>
      <c r="Q111" s="60">
        <f t="shared" si="10"/>
        <v>0</v>
      </c>
      <c r="R111" s="60">
        <f t="shared" si="11"/>
        <v>0</v>
      </c>
    </row>
    <row r="112" spans="1:18" x14ac:dyDescent="0.25">
      <c r="A112" s="64"/>
      <c r="B112" s="209"/>
      <c r="C112" s="209"/>
      <c r="D112" s="209"/>
      <c r="E112" s="64"/>
      <c r="G112" s="123">
        <v>21.1</v>
      </c>
      <c r="H112" s="122">
        <v>0.99796799999999997</v>
      </c>
      <c r="I112" s="60">
        <f t="shared" si="2"/>
        <v>0</v>
      </c>
      <c r="J112" s="60">
        <f t="shared" si="3"/>
        <v>0</v>
      </c>
      <c r="K112" s="60">
        <f t="shared" si="4"/>
        <v>0</v>
      </c>
      <c r="L112" s="60">
        <f t="shared" si="5"/>
        <v>0</v>
      </c>
      <c r="M112" s="60">
        <f t="shared" si="6"/>
        <v>0</v>
      </c>
      <c r="N112" s="60">
        <f t="shared" si="7"/>
        <v>0</v>
      </c>
      <c r="O112" s="60">
        <f t="shared" si="8"/>
        <v>0</v>
      </c>
      <c r="P112" s="60">
        <f t="shared" si="9"/>
        <v>0</v>
      </c>
      <c r="Q112" s="60">
        <f t="shared" si="10"/>
        <v>0</v>
      </c>
      <c r="R112" s="60">
        <f t="shared" si="11"/>
        <v>0</v>
      </c>
    </row>
    <row r="113" spans="1:18" x14ac:dyDescent="0.25">
      <c r="A113" s="64"/>
      <c r="B113" s="209"/>
      <c r="C113" s="209"/>
      <c r="D113" s="209"/>
      <c r="E113" s="64"/>
      <c r="G113" s="123">
        <v>21.2</v>
      </c>
      <c r="H113" s="122">
        <v>0.997946</v>
      </c>
      <c r="I113" s="60">
        <f t="shared" si="2"/>
        <v>0</v>
      </c>
      <c r="J113" s="60">
        <f t="shared" si="3"/>
        <v>0</v>
      </c>
      <c r="K113" s="60">
        <f t="shared" si="4"/>
        <v>0</v>
      </c>
      <c r="L113" s="60">
        <f t="shared" si="5"/>
        <v>0</v>
      </c>
      <c r="M113" s="60">
        <f t="shared" si="6"/>
        <v>0</v>
      </c>
      <c r="N113" s="60">
        <f t="shared" si="7"/>
        <v>0</v>
      </c>
      <c r="O113" s="60">
        <f t="shared" si="8"/>
        <v>0</v>
      </c>
      <c r="P113" s="60">
        <f t="shared" si="9"/>
        <v>0</v>
      </c>
      <c r="Q113" s="60">
        <f t="shared" si="10"/>
        <v>0</v>
      </c>
      <c r="R113" s="60">
        <f t="shared" si="11"/>
        <v>0</v>
      </c>
    </row>
    <row r="114" spans="1:18" x14ac:dyDescent="0.25">
      <c r="A114" s="64"/>
      <c r="B114" s="209"/>
      <c r="C114" s="209"/>
      <c r="D114" s="209"/>
      <c r="E114" s="64"/>
      <c r="G114" s="123">
        <v>21.3</v>
      </c>
      <c r="H114" s="122">
        <v>0.997923</v>
      </c>
      <c r="I114" s="60">
        <f t="shared" si="2"/>
        <v>0</v>
      </c>
      <c r="J114" s="60">
        <f t="shared" si="3"/>
        <v>0</v>
      </c>
      <c r="K114" s="60">
        <f t="shared" si="4"/>
        <v>0</v>
      </c>
      <c r="L114" s="60">
        <f t="shared" si="5"/>
        <v>0</v>
      </c>
      <c r="M114" s="60">
        <f t="shared" si="6"/>
        <v>0</v>
      </c>
      <c r="N114" s="60">
        <f t="shared" si="7"/>
        <v>0</v>
      </c>
      <c r="O114" s="60">
        <f t="shared" si="8"/>
        <v>0</v>
      </c>
      <c r="P114" s="60">
        <f t="shared" si="9"/>
        <v>0</v>
      </c>
      <c r="Q114" s="60">
        <f t="shared" si="10"/>
        <v>0</v>
      </c>
      <c r="R114" s="60">
        <f t="shared" si="11"/>
        <v>0</v>
      </c>
    </row>
    <row r="115" spans="1:18" x14ac:dyDescent="0.25">
      <c r="G115" s="123">
        <v>21.4</v>
      </c>
      <c r="H115" s="122">
        <v>0.99790100000000004</v>
      </c>
      <c r="I115" s="60">
        <f t="shared" si="2"/>
        <v>0</v>
      </c>
      <c r="J115" s="60">
        <f t="shared" si="3"/>
        <v>0</v>
      </c>
      <c r="K115" s="60">
        <f t="shared" si="4"/>
        <v>0</v>
      </c>
      <c r="L115" s="60">
        <f t="shared" si="5"/>
        <v>0</v>
      </c>
      <c r="M115" s="60">
        <f t="shared" si="6"/>
        <v>0</v>
      </c>
      <c r="N115" s="60">
        <f t="shared" si="7"/>
        <v>0</v>
      </c>
      <c r="O115" s="60">
        <f t="shared" si="8"/>
        <v>0</v>
      </c>
      <c r="P115" s="60">
        <f t="shared" si="9"/>
        <v>0</v>
      </c>
      <c r="Q115" s="60">
        <f t="shared" si="10"/>
        <v>0</v>
      </c>
      <c r="R115" s="60">
        <f t="shared" si="11"/>
        <v>0</v>
      </c>
    </row>
    <row r="116" spans="1:18" x14ac:dyDescent="0.25">
      <c r="G116" s="123">
        <v>21.5</v>
      </c>
      <c r="H116" s="122">
        <v>0.99787899999999996</v>
      </c>
      <c r="I116" s="60">
        <f t="shared" si="2"/>
        <v>0</v>
      </c>
      <c r="J116" s="60">
        <f t="shared" si="3"/>
        <v>0</v>
      </c>
      <c r="K116" s="60">
        <f t="shared" si="4"/>
        <v>0</v>
      </c>
      <c r="L116" s="60">
        <f t="shared" si="5"/>
        <v>0</v>
      </c>
      <c r="M116" s="60">
        <f t="shared" si="6"/>
        <v>0</v>
      </c>
      <c r="N116" s="60">
        <f t="shared" si="7"/>
        <v>0</v>
      </c>
      <c r="O116" s="60">
        <f t="shared" si="8"/>
        <v>0</v>
      </c>
      <c r="P116" s="60">
        <f t="shared" si="9"/>
        <v>0</v>
      </c>
      <c r="Q116" s="60">
        <f t="shared" si="10"/>
        <v>0</v>
      </c>
      <c r="R116" s="60">
        <f t="shared" si="11"/>
        <v>0</v>
      </c>
    </row>
    <row r="117" spans="1:18" x14ac:dyDescent="0.25">
      <c r="G117" s="123">
        <v>21.6</v>
      </c>
      <c r="H117" s="122">
        <v>0.99785699999999999</v>
      </c>
      <c r="I117" s="60">
        <f t="shared" si="2"/>
        <v>0</v>
      </c>
      <c r="J117" s="60">
        <f t="shared" si="3"/>
        <v>0</v>
      </c>
      <c r="K117" s="60">
        <f t="shared" si="4"/>
        <v>0</v>
      </c>
      <c r="L117" s="60">
        <f t="shared" si="5"/>
        <v>0</v>
      </c>
      <c r="M117" s="60">
        <f t="shared" si="6"/>
        <v>0</v>
      </c>
      <c r="N117" s="60">
        <f t="shared" si="7"/>
        <v>0</v>
      </c>
      <c r="O117" s="60">
        <f t="shared" si="8"/>
        <v>0</v>
      </c>
      <c r="P117" s="60">
        <f t="shared" si="9"/>
        <v>0</v>
      </c>
      <c r="Q117" s="60">
        <f t="shared" si="10"/>
        <v>0</v>
      </c>
      <c r="R117" s="60">
        <f t="shared" si="11"/>
        <v>0</v>
      </c>
    </row>
    <row r="118" spans="1:18" x14ac:dyDescent="0.25">
      <c r="G118" s="123">
        <v>21.7</v>
      </c>
      <c r="H118" s="122">
        <v>0.99783500000000003</v>
      </c>
      <c r="I118" s="60">
        <f t="shared" si="2"/>
        <v>0</v>
      </c>
      <c r="J118" s="60">
        <f t="shared" si="3"/>
        <v>0</v>
      </c>
      <c r="K118" s="60">
        <f t="shared" si="4"/>
        <v>0</v>
      </c>
      <c r="L118" s="60">
        <f t="shared" si="5"/>
        <v>0</v>
      </c>
      <c r="M118" s="60">
        <f t="shared" si="6"/>
        <v>0</v>
      </c>
      <c r="N118" s="60">
        <f t="shared" si="7"/>
        <v>0</v>
      </c>
      <c r="O118" s="60">
        <f t="shared" si="8"/>
        <v>0</v>
      </c>
      <c r="P118" s="60">
        <f t="shared" si="9"/>
        <v>0</v>
      </c>
      <c r="Q118" s="60">
        <f t="shared" si="10"/>
        <v>0</v>
      </c>
      <c r="R118" s="60">
        <f t="shared" si="11"/>
        <v>0</v>
      </c>
    </row>
    <row r="119" spans="1:18" x14ac:dyDescent="0.25">
      <c r="G119" s="123">
        <v>21.8</v>
      </c>
      <c r="H119" s="122">
        <v>0.99781200000000003</v>
      </c>
      <c r="I119" s="60">
        <f t="shared" si="2"/>
        <v>0</v>
      </c>
      <c r="J119" s="60">
        <f t="shared" si="3"/>
        <v>0</v>
      </c>
      <c r="K119" s="60">
        <f t="shared" si="4"/>
        <v>0</v>
      </c>
      <c r="L119" s="60">
        <f t="shared" si="5"/>
        <v>0</v>
      </c>
      <c r="M119" s="60">
        <f t="shared" si="6"/>
        <v>0</v>
      </c>
      <c r="N119" s="60">
        <f t="shared" si="7"/>
        <v>0</v>
      </c>
      <c r="O119" s="60">
        <f t="shared" si="8"/>
        <v>0</v>
      </c>
      <c r="P119" s="60">
        <f t="shared" si="9"/>
        <v>0</v>
      </c>
      <c r="Q119" s="60">
        <f t="shared" si="10"/>
        <v>0</v>
      </c>
      <c r="R119" s="60">
        <f t="shared" si="11"/>
        <v>0</v>
      </c>
    </row>
    <row r="120" spans="1:18" x14ac:dyDescent="0.25">
      <c r="G120" s="123">
        <v>21.9</v>
      </c>
      <c r="H120" s="122">
        <v>0.99778999999999995</v>
      </c>
      <c r="I120" s="60">
        <f t="shared" si="2"/>
        <v>0</v>
      </c>
      <c r="J120" s="60">
        <f t="shared" si="3"/>
        <v>0</v>
      </c>
      <c r="K120" s="60">
        <f t="shared" si="4"/>
        <v>0</v>
      </c>
      <c r="L120" s="60">
        <f t="shared" si="5"/>
        <v>0</v>
      </c>
      <c r="M120" s="60">
        <f t="shared" si="6"/>
        <v>0</v>
      </c>
      <c r="N120" s="60">
        <f t="shared" si="7"/>
        <v>0</v>
      </c>
      <c r="O120" s="60">
        <f t="shared" si="8"/>
        <v>0</v>
      </c>
      <c r="P120" s="60">
        <f t="shared" si="9"/>
        <v>0</v>
      </c>
      <c r="Q120" s="60">
        <f t="shared" si="10"/>
        <v>0</v>
      </c>
      <c r="R120" s="60">
        <f t="shared" si="11"/>
        <v>0</v>
      </c>
    </row>
    <row r="121" spans="1:18" x14ac:dyDescent="0.25">
      <c r="G121" s="123">
        <v>22</v>
      </c>
      <c r="H121" s="122">
        <v>0.99776799999999999</v>
      </c>
      <c r="I121" s="60">
        <f t="shared" si="2"/>
        <v>0</v>
      </c>
      <c r="J121" s="60">
        <f t="shared" si="3"/>
        <v>0</v>
      </c>
      <c r="K121" s="60">
        <f t="shared" si="4"/>
        <v>0</v>
      </c>
      <c r="L121" s="60">
        <f t="shared" si="5"/>
        <v>0</v>
      </c>
      <c r="M121" s="60">
        <f t="shared" si="6"/>
        <v>0</v>
      </c>
      <c r="N121" s="60">
        <f t="shared" si="7"/>
        <v>0</v>
      </c>
      <c r="O121" s="60">
        <f t="shared" si="8"/>
        <v>0</v>
      </c>
      <c r="P121" s="60">
        <f t="shared" si="9"/>
        <v>0</v>
      </c>
      <c r="Q121" s="60">
        <f t="shared" si="10"/>
        <v>0</v>
      </c>
      <c r="R121" s="60">
        <f t="shared" si="11"/>
        <v>0</v>
      </c>
    </row>
    <row r="122" spans="1:18" x14ac:dyDescent="0.25">
      <c r="G122" s="6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39" spans="2:53" ht="21" x14ac:dyDescent="0.4">
      <c r="C139" s="583" t="s">
        <v>105</v>
      </c>
      <c r="D139" s="583"/>
      <c r="E139" s="583"/>
      <c r="F139" s="583"/>
      <c r="J139" s="330"/>
      <c r="K139" s="611" t="s">
        <v>0</v>
      </c>
      <c r="L139" s="611"/>
      <c r="M139" s="611"/>
      <c r="N139" s="611"/>
      <c r="O139" s="611"/>
      <c r="P139" s="611"/>
      <c r="Q139" s="611"/>
      <c r="R139" s="611"/>
      <c r="S139" s="611"/>
      <c r="W139" s="579" t="s">
        <v>135</v>
      </c>
      <c r="X139" s="579"/>
      <c r="Y139" s="579"/>
      <c r="Z139" s="579"/>
      <c r="AA139" s="579"/>
      <c r="AB139" s="579"/>
      <c r="AC139" s="579"/>
      <c r="AD139" s="579"/>
      <c r="AE139" s="579"/>
      <c r="AH139" s="579" t="s">
        <v>135</v>
      </c>
      <c r="AI139" s="579"/>
      <c r="AJ139" s="579"/>
      <c r="AK139" s="579"/>
      <c r="AL139" s="579"/>
      <c r="AM139" s="579"/>
      <c r="AN139" s="579"/>
      <c r="AO139" s="579"/>
      <c r="AP139" s="579"/>
      <c r="AS139" s="579" t="s">
        <v>135</v>
      </c>
      <c r="AT139" s="579"/>
      <c r="AU139" s="579"/>
      <c r="AV139" s="579"/>
      <c r="AW139" s="579"/>
      <c r="AX139" s="579"/>
      <c r="AY139" s="579"/>
      <c r="AZ139" s="579"/>
      <c r="BA139" s="579"/>
    </row>
    <row r="140" spans="2:53" ht="12.75" customHeight="1" x14ac:dyDescent="0.25"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W140" s="579"/>
      <c r="X140" s="579"/>
      <c r="Y140" s="579"/>
      <c r="Z140" s="579"/>
      <c r="AA140" s="579"/>
      <c r="AB140" s="579"/>
      <c r="AC140" s="579"/>
      <c r="AD140" s="579"/>
      <c r="AE140" s="579"/>
      <c r="AH140" s="579"/>
      <c r="AI140" s="579"/>
      <c r="AJ140" s="579"/>
      <c r="AK140" s="579"/>
      <c r="AL140" s="579"/>
      <c r="AM140" s="579"/>
      <c r="AN140" s="579"/>
      <c r="AO140" s="579"/>
      <c r="AP140" s="579"/>
      <c r="AS140" s="579"/>
      <c r="AT140" s="579"/>
      <c r="AU140" s="579"/>
      <c r="AV140" s="579"/>
      <c r="AW140" s="579"/>
      <c r="AX140" s="579"/>
      <c r="AY140" s="579"/>
      <c r="AZ140" s="579"/>
      <c r="BA140" s="579"/>
    </row>
    <row r="141" spans="2:53" ht="15.6" x14ac:dyDescent="0.3">
      <c r="B141" s="330"/>
      <c r="C141" s="580" t="s">
        <v>103</v>
      </c>
      <c r="D141" s="580"/>
      <c r="E141" s="580"/>
      <c r="F141" s="580"/>
      <c r="J141" s="330"/>
      <c r="K141" s="580" t="s">
        <v>103</v>
      </c>
      <c r="L141" s="580"/>
      <c r="M141" s="580"/>
      <c r="N141" s="580"/>
      <c r="O141" s="330"/>
      <c r="P141" s="580" t="s">
        <v>103</v>
      </c>
      <c r="Q141" s="580"/>
      <c r="R141" s="580"/>
      <c r="S141" s="580"/>
      <c r="V141" s="330"/>
      <c r="W141" s="580" t="s">
        <v>92</v>
      </c>
      <c r="X141" s="580"/>
      <c r="Y141" s="580"/>
      <c r="Z141" s="580"/>
      <c r="AA141" s="330"/>
      <c r="AB141" s="580" t="s">
        <v>136</v>
      </c>
      <c r="AC141" s="580"/>
      <c r="AD141" s="580"/>
      <c r="AE141" s="580"/>
      <c r="AG141" s="330"/>
      <c r="AH141" s="580" t="s">
        <v>92</v>
      </c>
      <c r="AI141" s="580"/>
      <c r="AJ141" s="580"/>
      <c r="AK141" s="580"/>
      <c r="AL141" s="330"/>
      <c r="AM141" s="580" t="s">
        <v>136</v>
      </c>
      <c r="AN141" s="580"/>
      <c r="AO141" s="580"/>
      <c r="AP141" s="580"/>
      <c r="AR141" s="330"/>
      <c r="AS141" s="580" t="s">
        <v>92</v>
      </c>
      <c r="AT141" s="580"/>
      <c r="AU141" s="580"/>
      <c r="AV141" s="580"/>
      <c r="AW141" s="330"/>
      <c r="AX141" s="580" t="s">
        <v>136</v>
      </c>
      <c r="AY141" s="580"/>
      <c r="AZ141" s="580"/>
      <c r="BA141" s="580"/>
    </row>
    <row r="142" spans="2:53" ht="39.6" x14ac:dyDescent="0.25">
      <c r="B142" s="330"/>
      <c r="C142" s="331" t="s">
        <v>25</v>
      </c>
      <c r="D142" s="332" t="s">
        <v>3</v>
      </c>
      <c r="E142" s="333" t="s">
        <v>104</v>
      </c>
      <c r="F142" s="332" t="s">
        <v>26</v>
      </c>
      <c r="H142" s="128">
        <v>1</v>
      </c>
      <c r="J142" s="330"/>
      <c r="K142" s="331" t="s">
        <v>25</v>
      </c>
      <c r="L142" s="332" t="s">
        <v>3</v>
      </c>
      <c r="M142" s="333" t="s">
        <v>104</v>
      </c>
      <c r="N142" s="332" t="s">
        <v>26</v>
      </c>
      <c r="O142" s="330"/>
      <c r="P142" s="331" t="s">
        <v>25</v>
      </c>
      <c r="Q142" s="332" t="s">
        <v>3</v>
      </c>
      <c r="R142" s="333" t="s">
        <v>104</v>
      </c>
      <c r="S142" s="332" t="s">
        <v>26</v>
      </c>
      <c r="V142" s="330"/>
      <c r="W142" s="331" t="s">
        <v>25</v>
      </c>
      <c r="X142" s="333" t="s">
        <v>137</v>
      </c>
      <c r="Y142" s="333" t="s">
        <v>229</v>
      </c>
      <c r="Z142" s="332" t="s">
        <v>26</v>
      </c>
      <c r="AA142" s="330"/>
      <c r="AB142" s="331" t="s">
        <v>25</v>
      </c>
      <c r="AC142" s="333" t="s">
        <v>137</v>
      </c>
      <c r="AD142" s="333" t="s">
        <v>229</v>
      </c>
      <c r="AE142" s="332" t="s">
        <v>26</v>
      </c>
      <c r="AG142" s="330"/>
      <c r="AH142" s="331" t="s">
        <v>25</v>
      </c>
      <c r="AI142" s="333" t="s">
        <v>137</v>
      </c>
      <c r="AJ142" s="333" t="s">
        <v>229</v>
      </c>
      <c r="AK142" s="332" t="s">
        <v>26</v>
      </c>
      <c r="AL142" s="330"/>
      <c r="AM142" s="331" t="s">
        <v>25</v>
      </c>
      <c r="AN142" s="333" t="s">
        <v>137</v>
      </c>
      <c r="AO142" s="333" t="s">
        <v>229</v>
      </c>
      <c r="AP142" s="332" t="s">
        <v>26</v>
      </c>
      <c r="AR142" s="330"/>
      <c r="AS142" s="331" t="s">
        <v>25</v>
      </c>
      <c r="AT142" s="333" t="s">
        <v>137</v>
      </c>
      <c r="AU142" s="333" t="s">
        <v>229</v>
      </c>
      <c r="AV142" s="332" t="s">
        <v>26</v>
      </c>
      <c r="AW142" s="330"/>
      <c r="AX142" s="331" t="s">
        <v>25</v>
      </c>
      <c r="AY142" s="333" t="s">
        <v>138</v>
      </c>
      <c r="AZ142" s="333" t="s">
        <v>104</v>
      </c>
      <c r="BA142" s="332" t="s">
        <v>26</v>
      </c>
    </row>
    <row r="143" spans="2:53" x14ac:dyDescent="0.25">
      <c r="B143" s="330"/>
      <c r="C143" s="334">
        <f>VLOOKUP(D143,C149:F156,4,FALSE)</f>
        <v>2</v>
      </c>
      <c r="D143" s="335">
        <f>VLOOKUP(D144,C149:E156,1,TRUE)</f>
        <v>-1.7000000000000001E-2</v>
      </c>
      <c r="E143" s="336">
        <f>VLOOKUP(D143,C149:E156,2,FALSE)</f>
        <v>-3.0000000000000001E-3</v>
      </c>
      <c r="F143" s="336">
        <f>VLOOKUP(D143,C149:E156,3,FALSE)</f>
        <v>0.02</v>
      </c>
      <c r="J143" s="330"/>
      <c r="K143" s="334">
        <f>VLOOKUP(L143,K149:N155,4,FALSE)</f>
        <v>1</v>
      </c>
      <c r="L143" s="335">
        <f>VLOOKUP(L144,K149:M155,1,TRUE)</f>
        <v>14.66</v>
      </c>
      <c r="M143" s="336">
        <f>VLOOKUP(L143,K149:M155,2,FALSE)</f>
        <v>0.1</v>
      </c>
      <c r="N143" s="336">
        <f>VLOOKUP(L143,K149:M155,3,FALSE)</f>
        <v>0.125</v>
      </c>
      <c r="O143" s="330"/>
      <c r="P143" s="334">
        <f>VLOOKUP(Q143,P149:S155,4,FALSE)</f>
        <v>1</v>
      </c>
      <c r="Q143" s="335">
        <f>VLOOKUP(Q144,P149:S155,1,TRUE)</f>
        <v>14.66</v>
      </c>
      <c r="R143" s="336">
        <f>VLOOKUP(Q143,P149:S155,2,FALSE)</f>
        <v>0.1</v>
      </c>
      <c r="S143" s="336">
        <f>VLOOKUP(Q143,P149:S155,3,FALSE)</f>
        <v>0.125</v>
      </c>
      <c r="V143" s="330"/>
      <c r="W143" s="334">
        <f>VLOOKUP(X143,W149:Z158,4,FALSE)</f>
        <v>2</v>
      </c>
      <c r="X143" s="335">
        <f>VLOOKUP(X144,W149:Y158,1,TRUE)</f>
        <v>1</v>
      </c>
      <c r="Y143" s="336">
        <f>VLOOKUP(X143,W149:Y158,2,FALSE)</f>
        <v>6.9999999999999994E-5</v>
      </c>
      <c r="Z143" s="336">
        <f>VLOOKUP(X143,W149:Y158,3,FALSE)</f>
        <v>2.5000000000000001E-3</v>
      </c>
      <c r="AA143" s="330"/>
      <c r="AB143" s="334">
        <f>VLOOKUP(AC143,AB149:AE158,4,FALSE)</f>
        <v>2</v>
      </c>
      <c r="AC143" s="335">
        <f>VLOOKUP(AC144,AB149:AE158,1,TRUE)</f>
        <v>1</v>
      </c>
      <c r="AD143" s="336">
        <f>VLOOKUP(AC143,AB149:AE155,2,FALSE)</f>
        <v>6.9999999999999994E-5</v>
      </c>
      <c r="AE143" s="336">
        <f>VLOOKUP(AC143,AB149:AE158,3,FALSE)</f>
        <v>2.5000000000000001E-3</v>
      </c>
      <c r="AG143" s="330"/>
      <c r="AH143" s="334">
        <f>VLOOKUP(AI143,AH149:AK158,4,FALSE)</f>
        <v>2</v>
      </c>
      <c r="AI143" s="335">
        <f>VLOOKUP(AI144,AH149:AJ158,1,TRUE)</f>
        <v>10</v>
      </c>
      <c r="AJ143" s="336">
        <f>VLOOKUP(AI143,AH149:AJ158,2,FALSE)</f>
        <v>0</v>
      </c>
      <c r="AK143" s="336">
        <f>VLOOKUP(AI143,AH149:AJ158,3,FALSE)</f>
        <v>0.2</v>
      </c>
      <c r="AL143" s="330"/>
      <c r="AM143" s="334">
        <f>VLOOKUP(AN143,AM149:AP158,4,FALSE)</f>
        <v>2</v>
      </c>
      <c r="AN143" s="335">
        <f>VLOOKUP(AN144,AM149:AP158,1,TRUE)</f>
        <v>10</v>
      </c>
      <c r="AO143" s="336">
        <f>VLOOKUP(AN143,AM149:AP155,2,FALSE)</f>
        <v>0</v>
      </c>
      <c r="AP143" s="336">
        <f>VLOOKUP(AN143,AM149:AP158,3,FALSE)</f>
        <v>0.2</v>
      </c>
      <c r="AR143" s="330"/>
      <c r="AS143" s="334">
        <f>VLOOKUP(AT143,AS149:AV158,4,FALSE)</f>
        <v>3</v>
      </c>
      <c r="AT143" s="335">
        <f>VLOOKUP(AT144,AS149:AU158,1,TRUE)</f>
        <v>20</v>
      </c>
      <c r="AU143" s="336">
        <f>VLOOKUP(AT143,AS149:AU158,2,FALSE)</f>
        <v>0</v>
      </c>
      <c r="AV143" s="336">
        <f>VLOOKUP(AT143,AS149:AU158,3,FALSE)</f>
        <v>0</v>
      </c>
      <c r="AW143" s="330"/>
      <c r="AX143" s="334">
        <f>VLOOKUP(AY143,AX149:BA158,4,FALSE)</f>
        <v>2</v>
      </c>
      <c r="AY143" s="335">
        <f>VLOOKUP(AY144,AX149:BA158,1,TRUE)</f>
        <v>10</v>
      </c>
      <c r="AZ143" s="336">
        <f>VLOOKUP(AY143,AX149:BA155,2,FALSE)</f>
        <v>0</v>
      </c>
      <c r="BA143" s="336">
        <f>VLOOKUP(AY143,AX149:BA158,3,FALSE)</f>
        <v>0</v>
      </c>
    </row>
    <row r="144" spans="2:53" x14ac:dyDescent="0.25">
      <c r="B144" s="330"/>
      <c r="C144" s="335"/>
      <c r="D144" s="337">
        <f>[1]Datos!F26</f>
        <v>17.689</v>
      </c>
      <c r="E144" s="338">
        <f>(E145-E143)/(D145-D143)*(D144-D143)+E143</f>
        <v>-3.7058964238727427E-3</v>
      </c>
      <c r="F144" s="338">
        <f>(F145-F143)/(D145-D143)*(D144-D143)+F143</f>
        <v>0.02</v>
      </c>
      <c r="J144" s="330"/>
      <c r="K144" s="335"/>
      <c r="L144" s="337">
        <f>[1]Datos!N25</f>
        <v>17.8</v>
      </c>
      <c r="M144" s="338">
        <f>(M145-M143)/(L145-L143)*(L144-L143)+M143</f>
        <v>8.8060836501901149E-2</v>
      </c>
      <c r="N144" s="338">
        <f>(N145-N143)/(L145-L143)*(L144-L143)+N143</f>
        <v>0.12798479087452472</v>
      </c>
      <c r="O144" s="330"/>
      <c r="P144" s="335"/>
      <c r="Q144" s="337">
        <f>[1]Datos!O25</f>
        <v>18.2</v>
      </c>
      <c r="R144" s="338">
        <f>(R145-R143)/(Q145-Q143)*(Q144-Q143)+R143</f>
        <v>8.6539923954372627E-2</v>
      </c>
      <c r="S144" s="338">
        <f>(S145-S143)/(Q145-Q143)*(Q144-Q143)+S143</f>
        <v>0.12836501901140684</v>
      </c>
      <c r="V144" s="330"/>
      <c r="W144" s="335"/>
      <c r="X144" s="337">
        <f>[1]Datos!D26</f>
        <v>26.667899999999999</v>
      </c>
      <c r="Y144" s="338">
        <f>(Y145-Y143)/(X145-X143)*(X144-X143)+Y143</f>
        <v>1.0889075757575757E-4</v>
      </c>
      <c r="Z144" s="338">
        <f>(Z145-Z143)/(X145-X143)*(X144-X143)+Z143</f>
        <v>2.5000000000000001E-3</v>
      </c>
      <c r="AA144" s="330"/>
      <c r="AB144" s="335"/>
      <c r="AC144" s="337">
        <f>[1]Datos!E26</f>
        <v>16.693300000000001</v>
      </c>
      <c r="AD144" s="338">
        <f>(AD145-AD143)/(AC145-AC143)*(AC144-AC143)+AD143</f>
        <v>9.3777727272727264E-5</v>
      </c>
      <c r="AE144" s="338">
        <f>(AE145-AE143)/(AC145-AC143)*(AC144-AC143)+AE143</f>
        <v>2.5000000000000001E-3</v>
      </c>
      <c r="AG144" s="330"/>
      <c r="AH144" s="335"/>
      <c r="AI144" s="337">
        <f>X144</f>
        <v>26.667899999999999</v>
      </c>
      <c r="AJ144" s="338">
        <f>(AJ145-AJ143)/(AI145-AI143)*(AI144-AI143)+AJ143</f>
        <v>0</v>
      </c>
      <c r="AK144" s="338">
        <f>(AK145-AK143)/(AI145-AI143)*(AI144-AI143)+AK143</f>
        <v>0.2</v>
      </c>
      <c r="AL144" s="330"/>
      <c r="AM144" s="335"/>
      <c r="AN144" s="337">
        <f>AC144</f>
        <v>16.693300000000001</v>
      </c>
      <c r="AO144" s="338">
        <f>(AO145-AO143)/(AN145-AN143)*(AN144-AN143)+AO143</f>
        <v>0</v>
      </c>
      <c r="AP144" s="338">
        <f>(AP145-AP143)/(AN145-AN143)*(AN144-AN143)+AP143</f>
        <v>0.2</v>
      </c>
      <c r="AR144" s="330"/>
      <c r="AS144" s="335"/>
      <c r="AT144" s="337">
        <f>AI144</f>
        <v>26.667899999999999</v>
      </c>
      <c r="AU144" s="338">
        <f>(AU145-AU143)/(AT145-AT143)*(AT144-AT143)+AU143</f>
        <v>0</v>
      </c>
      <c r="AV144" s="338">
        <f>(AV145-AV143)/(AT145-AT143)*(AT144-AT143)+AV143</f>
        <v>0</v>
      </c>
      <c r="AW144" s="330"/>
      <c r="AX144" s="335"/>
      <c r="AY144" s="337">
        <f>AN144</f>
        <v>16.693300000000001</v>
      </c>
      <c r="AZ144" s="338">
        <f>(AZ145-AZ143)/(AY145-AY143)*(AY144-AY143)+AZ143</f>
        <v>0</v>
      </c>
      <c r="BA144" s="338">
        <f>(BA145-BA143)/(AY145-AY143)*(AY144-AY143)+BA143</f>
        <v>0</v>
      </c>
    </row>
    <row r="145" spans="2:53" x14ac:dyDescent="0.25">
      <c r="B145" s="330"/>
      <c r="C145" s="334">
        <f>C143+1</f>
        <v>3</v>
      </c>
      <c r="D145" s="335">
        <f>VLOOKUP(C143+1,B149:E156,2,FALSE)</f>
        <v>25.065999999999999</v>
      </c>
      <c r="E145" s="336">
        <f>VLOOKUP(D145,C149:E156,2,FALSE)</f>
        <v>-4.0000000000000001E-3</v>
      </c>
      <c r="F145" s="336">
        <f>VLOOKUP(D145,C149:E156,3,FALSE)</f>
        <v>0.02</v>
      </c>
      <c r="J145" s="330"/>
      <c r="K145" s="334">
        <f>K143+1</f>
        <v>2</v>
      </c>
      <c r="L145" s="335">
        <f>VLOOKUP(K143+1,J149:M155,2,FALSE)</f>
        <v>19.920000000000002</v>
      </c>
      <c r="M145" s="336">
        <f>VLOOKUP(L145,K149:M155,2,FALSE)</f>
        <v>0.08</v>
      </c>
      <c r="N145" s="336">
        <f>VLOOKUP(L145,K149:M155,3,FALSE)</f>
        <v>0.13</v>
      </c>
      <c r="O145" s="330"/>
      <c r="P145" s="334">
        <f>P143+1</f>
        <v>2</v>
      </c>
      <c r="Q145" s="335">
        <f>VLOOKUP(P143+1,O149:S155,2,FALSE)</f>
        <v>19.920000000000002</v>
      </c>
      <c r="R145" s="336">
        <f>VLOOKUP(Q145,P149:S155,2,FALSE)</f>
        <v>0.08</v>
      </c>
      <c r="S145" s="336">
        <f>VLOOKUP(Q145,P149:S155,3,FALSE)</f>
        <v>0.13</v>
      </c>
      <c r="V145" s="330"/>
      <c r="W145" s="334">
        <f>W143+1</f>
        <v>3</v>
      </c>
      <c r="X145" s="335">
        <f>VLOOKUP(W143+1,V149:Y158,2,FALSE)</f>
        <v>100</v>
      </c>
      <c r="Y145" s="336">
        <f>VLOOKUP(X145,W149:Y158,2,FALSE)</f>
        <v>2.2000000000000001E-4</v>
      </c>
      <c r="Z145" s="336">
        <f>VLOOKUP(X145,W149:Y158,3,FALSE)</f>
        <v>2.5000000000000001E-3</v>
      </c>
      <c r="AA145" s="330"/>
      <c r="AB145" s="334">
        <f>AB143+1</f>
        <v>3</v>
      </c>
      <c r="AC145" s="335">
        <f>VLOOKUP(AB143+1,AA149:AE158,2,FALSE)</f>
        <v>100</v>
      </c>
      <c r="AD145" s="336">
        <f>VLOOKUP(AC145,AB149:AE158,2,FALSE)</f>
        <v>2.2000000000000001E-4</v>
      </c>
      <c r="AE145" s="336">
        <f>VLOOKUP(AC145,AB149:AE158,3,FALSE)</f>
        <v>2.5000000000000001E-3</v>
      </c>
      <c r="AG145" s="330"/>
      <c r="AH145" s="334">
        <f>AH143+1</f>
        <v>3</v>
      </c>
      <c r="AI145" s="335">
        <f>VLOOKUP(AH143+1,AG149:AJ158,2,FALSE)</f>
        <v>5000</v>
      </c>
      <c r="AJ145" s="336">
        <f>VLOOKUP(AI145,AH149:AJ158,2,FALSE)</f>
        <v>0</v>
      </c>
      <c r="AK145" s="336">
        <f>VLOOKUP(AI145,AH149:AJ158,3,FALSE)</f>
        <v>0.2</v>
      </c>
      <c r="AL145" s="330"/>
      <c r="AM145" s="334">
        <f>AM143+1</f>
        <v>3</v>
      </c>
      <c r="AN145" s="335">
        <f>VLOOKUP(AM143+1,AL149:AP158,2,FALSE)</f>
        <v>5000</v>
      </c>
      <c r="AO145" s="336">
        <f>VLOOKUP(AN145,AM149:AP158,2,FALSE)</f>
        <v>0</v>
      </c>
      <c r="AP145" s="336">
        <f>VLOOKUP(AN145,AM149:AP158,3,FALSE)</f>
        <v>0.2</v>
      </c>
      <c r="AR145" s="330"/>
      <c r="AS145" s="334">
        <f>AS143+1</f>
        <v>4</v>
      </c>
      <c r="AT145" s="335">
        <f>VLOOKUP(AS143+1,AR149:AU158,2,FALSE)</f>
        <v>50</v>
      </c>
      <c r="AU145" s="336">
        <f>VLOOKUP(AT145,AS149:AU158,2,FALSE)</f>
        <v>0</v>
      </c>
      <c r="AV145" s="336">
        <f>VLOOKUP(AT145,AS149:AU158,3,FALSE)</f>
        <v>0</v>
      </c>
      <c r="AW145" s="330"/>
      <c r="AX145" s="334">
        <f>AX143+1</f>
        <v>3</v>
      </c>
      <c r="AY145" s="335">
        <f>VLOOKUP(AX143+1,AW149:BA158,2,FALSE)</f>
        <v>20</v>
      </c>
      <c r="AZ145" s="336">
        <f>VLOOKUP(AY145,AX149:BA158,2,FALSE)</f>
        <v>0</v>
      </c>
      <c r="BA145" s="336">
        <f>VLOOKUP(AY145,AX149:BA158,3,FALSE)</f>
        <v>0</v>
      </c>
    </row>
    <row r="146" spans="2:53" x14ac:dyDescent="0.25">
      <c r="B146" s="330"/>
      <c r="C146" s="330"/>
      <c r="D146" s="330"/>
      <c r="E146" s="330"/>
      <c r="F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G146" s="330"/>
      <c r="AH146" s="330"/>
      <c r="AI146" s="330"/>
      <c r="AJ146" s="330"/>
      <c r="AK146" s="330"/>
      <c r="AL146" s="330"/>
      <c r="AM146" s="330"/>
      <c r="AN146" s="330"/>
      <c r="AO146" s="330"/>
      <c r="AP146" s="330"/>
      <c r="AR146" s="330"/>
      <c r="AS146" s="330"/>
      <c r="AT146" s="330"/>
      <c r="AU146" s="330"/>
      <c r="AV146" s="330"/>
      <c r="AW146" s="330"/>
      <c r="AX146" s="330"/>
      <c r="AY146" s="330"/>
      <c r="AZ146" s="330"/>
      <c r="BA146" s="330"/>
    </row>
    <row r="147" spans="2:53" ht="26.4" x14ac:dyDescent="0.3">
      <c r="B147" s="330"/>
      <c r="C147" s="580" t="s">
        <v>103</v>
      </c>
      <c r="D147" s="580"/>
      <c r="E147" s="580"/>
      <c r="F147" s="339"/>
      <c r="J147" s="330"/>
      <c r="K147" s="580" t="s">
        <v>27</v>
      </c>
      <c r="L147" s="580"/>
      <c r="M147" s="580"/>
      <c r="N147" s="339"/>
      <c r="O147" s="584" t="s">
        <v>27</v>
      </c>
      <c r="P147" s="584"/>
      <c r="Q147" s="584"/>
      <c r="R147" s="584"/>
      <c r="S147" s="584"/>
      <c r="V147" s="330"/>
      <c r="W147" s="333" t="s">
        <v>139</v>
      </c>
      <c r="X147" s="333" t="s">
        <v>229</v>
      </c>
      <c r="Y147" s="333" t="s">
        <v>14</v>
      </c>
      <c r="Z147" s="339"/>
      <c r="AA147" s="339"/>
      <c r="AB147" s="333" t="s">
        <v>139</v>
      </c>
      <c r="AC147" s="333" t="s">
        <v>229</v>
      </c>
      <c r="AD147" s="333" t="s">
        <v>14</v>
      </c>
      <c r="AE147" s="339"/>
      <c r="AG147" s="330"/>
      <c r="AH147" s="333" t="s">
        <v>139</v>
      </c>
      <c r="AI147" s="333" t="s">
        <v>228</v>
      </c>
      <c r="AJ147" s="333" t="s">
        <v>14</v>
      </c>
      <c r="AK147" s="339"/>
      <c r="AL147" s="339"/>
      <c r="AM147" s="333" t="s">
        <v>139</v>
      </c>
      <c r="AN147" s="333" t="s">
        <v>228</v>
      </c>
      <c r="AO147" s="333" t="s">
        <v>14</v>
      </c>
      <c r="AP147" s="339"/>
      <c r="AR147" s="330"/>
      <c r="AS147" s="333" t="s">
        <v>139</v>
      </c>
      <c r="AT147" s="333" t="s">
        <v>228</v>
      </c>
      <c r="AU147" s="333" t="s">
        <v>14</v>
      </c>
      <c r="AV147" s="339"/>
      <c r="AW147" s="339"/>
      <c r="AX147" s="333" t="s">
        <v>139</v>
      </c>
      <c r="AY147" s="333" t="s">
        <v>228</v>
      </c>
      <c r="AZ147" s="333" t="s">
        <v>14</v>
      </c>
      <c r="BA147" s="339"/>
    </row>
    <row r="148" spans="2:53" x14ac:dyDescent="0.25">
      <c r="B148" s="340"/>
      <c r="C148" s="333" t="s">
        <v>3</v>
      </c>
      <c r="D148" s="333" t="s">
        <v>229</v>
      </c>
      <c r="E148" s="333" t="s">
        <v>14</v>
      </c>
      <c r="F148" s="340"/>
      <c r="J148" s="340"/>
      <c r="K148" s="333" t="s">
        <v>3</v>
      </c>
      <c r="L148" s="333" t="s">
        <v>228</v>
      </c>
      <c r="M148" s="333" t="s">
        <v>14</v>
      </c>
      <c r="N148" s="340"/>
      <c r="O148" s="340"/>
      <c r="P148" s="333" t="s">
        <v>3</v>
      </c>
      <c r="Q148" s="333" t="s">
        <v>228</v>
      </c>
      <c r="R148" s="333" t="s">
        <v>14</v>
      </c>
      <c r="S148" s="340"/>
      <c r="V148" s="340"/>
      <c r="W148" s="333" t="s">
        <v>91</v>
      </c>
      <c r="X148" s="333" t="s">
        <v>91</v>
      </c>
      <c r="Y148" s="333" t="s">
        <v>91</v>
      </c>
      <c r="Z148" s="340"/>
      <c r="AA148" s="340"/>
      <c r="AB148" s="333" t="s">
        <v>91</v>
      </c>
      <c r="AC148" s="333" t="s">
        <v>91</v>
      </c>
      <c r="AD148" s="333" t="s">
        <v>91</v>
      </c>
      <c r="AE148" s="340"/>
      <c r="AG148" s="340"/>
      <c r="AH148" s="333" t="s">
        <v>91</v>
      </c>
      <c r="AI148" s="333" t="s">
        <v>91</v>
      </c>
      <c r="AJ148" s="333" t="s">
        <v>91</v>
      </c>
      <c r="AK148" s="340"/>
      <c r="AL148" s="340"/>
      <c r="AM148" s="333" t="s">
        <v>91</v>
      </c>
      <c r="AN148" s="333" t="s">
        <v>91</v>
      </c>
      <c r="AO148" s="333" t="s">
        <v>91</v>
      </c>
      <c r="AP148" s="340"/>
      <c r="AR148" s="340"/>
      <c r="AS148" s="333" t="s">
        <v>91</v>
      </c>
      <c r="AT148" s="333" t="s">
        <v>91</v>
      </c>
      <c r="AU148" s="333" t="s">
        <v>91</v>
      </c>
      <c r="AV148" s="340"/>
      <c r="AW148" s="340"/>
      <c r="AX148" s="333" t="s">
        <v>91</v>
      </c>
      <c r="AY148" s="333" t="s">
        <v>91</v>
      </c>
      <c r="AZ148" s="333" t="s">
        <v>91</v>
      </c>
      <c r="BA148" s="340"/>
    </row>
    <row r="149" spans="2:53" x14ac:dyDescent="0.25">
      <c r="B149" s="341">
        <v>1</v>
      </c>
      <c r="C149" s="342">
        <v>-30.047999999999998</v>
      </c>
      <c r="D149" s="342">
        <v>-2.1000000000000001E-2</v>
      </c>
      <c r="E149" s="342">
        <v>2.3E-2</v>
      </c>
      <c r="F149" s="341">
        <v>1</v>
      </c>
      <c r="J149" s="341">
        <v>1</v>
      </c>
      <c r="K149" s="343">
        <v>14.66</v>
      </c>
      <c r="L149" s="342">
        <v>0.1</v>
      </c>
      <c r="M149" s="342">
        <v>0.125</v>
      </c>
      <c r="N149" s="341">
        <v>1</v>
      </c>
      <c r="O149" s="341">
        <v>1</v>
      </c>
      <c r="P149" s="343">
        <v>14.66</v>
      </c>
      <c r="Q149" s="342">
        <v>0.1</v>
      </c>
      <c r="R149" s="342">
        <v>0.125</v>
      </c>
      <c r="S149" s="341">
        <v>1</v>
      </c>
      <c r="V149" s="341">
        <v>1</v>
      </c>
      <c r="W149" s="344">
        <v>0</v>
      </c>
      <c r="X149" s="344">
        <v>0</v>
      </c>
      <c r="Y149" s="345">
        <v>1.6000000000000001E-4</v>
      </c>
      <c r="Z149" s="341">
        <v>1</v>
      </c>
      <c r="AA149" s="341">
        <v>1</v>
      </c>
      <c r="AB149" s="344">
        <v>0</v>
      </c>
      <c r="AC149" s="344">
        <v>0</v>
      </c>
      <c r="AD149" s="345">
        <v>1.6000000000000001E-4</v>
      </c>
      <c r="AE149" s="341">
        <v>1</v>
      </c>
      <c r="AG149" s="341">
        <v>1</v>
      </c>
      <c r="AH149" s="346">
        <v>0</v>
      </c>
      <c r="AI149" s="347">
        <v>0</v>
      </c>
      <c r="AJ149" s="342">
        <v>0.05</v>
      </c>
      <c r="AK149" s="341">
        <v>1</v>
      </c>
      <c r="AL149" s="341">
        <v>1</v>
      </c>
      <c r="AM149" s="346">
        <v>0</v>
      </c>
      <c r="AN149" s="347">
        <v>0</v>
      </c>
      <c r="AO149" s="342">
        <v>0.05</v>
      </c>
      <c r="AP149" s="341">
        <v>1</v>
      </c>
      <c r="AR149" s="341">
        <v>1</v>
      </c>
      <c r="AS149" s="342">
        <v>0</v>
      </c>
      <c r="AT149" s="342"/>
      <c r="AU149" s="342"/>
      <c r="AV149" s="341">
        <v>1</v>
      </c>
      <c r="AW149" s="341">
        <v>1</v>
      </c>
      <c r="AX149" s="342">
        <v>0</v>
      </c>
      <c r="AY149" s="342"/>
      <c r="AZ149" s="342"/>
      <c r="BA149" s="341">
        <v>1</v>
      </c>
    </row>
    <row r="150" spans="2:53" x14ac:dyDescent="0.25">
      <c r="B150" s="341">
        <v>2</v>
      </c>
      <c r="C150" s="342">
        <v>-1.7000000000000001E-2</v>
      </c>
      <c r="D150" s="342">
        <v>-3.0000000000000001E-3</v>
      </c>
      <c r="E150" s="342">
        <v>0.02</v>
      </c>
      <c r="F150" s="341">
        <v>2</v>
      </c>
      <c r="J150" s="341">
        <v>2</v>
      </c>
      <c r="K150" s="343">
        <v>19.920000000000002</v>
      </c>
      <c r="L150" s="342">
        <v>0.08</v>
      </c>
      <c r="M150" s="342">
        <v>0.13</v>
      </c>
      <c r="N150" s="341">
        <v>2</v>
      </c>
      <c r="O150" s="341">
        <v>2</v>
      </c>
      <c r="P150" s="343">
        <v>19.920000000000002</v>
      </c>
      <c r="Q150" s="342">
        <v>0.08</v>
      </c>
      <c r="R150" s="342">
        <v>0.13</v>
      </c>
      <c r="S150" s="341">
        <v>2</v>
      </c>
      <c r="V150" s="341">
        <v>2</v>
      </c>
      <c r="W150" s="344">
        <v>1</v>
      </c>
      <c r="X150" s="344">
        <v>6.9999999999999994E-5</v>
      </c>
      <c r="Y150" s="345">
        <v>2.5000000000000001E-3</v>
      </c>
      <c r="Z150" s="341">
        <v>2</v>
      </c>
      <c r="AA150" s="341">
        <v>2</v>
      </c>
      <c r="AB150" s="344">
        <v>1</v>
      </c>
      <c r="AC150" s="344">
        <v>6.9999999999999994E-5</v>
      </c>
      <c r="AD150" s="345">
        <v>2.5000000000000001E-3</v>
      </c>
      <c r="AE150" s="341">
        <v>2</v>
      </c>
      <c r="AG150" s="341">
        <v>2</v>
      </c>
      <c r="AH150" s="346">
        <v>10</v>
      </c>
      <c r="AI150" s="347">
        <v>0</v>
      </c>
      <c r="AJ150" s="342">
        <v>0.2</v>
      </c>
      <c r="AK150" s="341">
        <v>2</v>
      </c>
      <c r="AL150" s="341">
        <v>2</v>
      </c>
      <c r="AM150" s="346">
        <v>10</v>
      </c>
      <c r="AN150" s="347">
        <v>0</v>
      </c>
      <c r="AO150" s="342">
        <v>0.2</v>
      </c>
      <c r="AP150" s="341">
        <v>2</v>
      </c>
      <c r="AR150" s="341">
        <v>2</v>
      </c>
      <c r="AS150" s="342">
        <v>10</v>
      </c>
      <c r="AT150" s="342"/>
      <c r="AU150" s="342"/>
      <c r="AV150" s="341">
        <v>2</v>
      </c>
      <c r="AW150" s="341">
        <v>2</v>
      </c>
      <c r="AX150" s="342">
        <v>10</v>
      </c>
      <c r="AY150" s="342"/>
      <c r="AZ150" s="342"/>
      <c r="BA150" s="341">
        <v>2</v>
      </c>
    </row>
    <row r="151" spans="2:53" x14ac:dyDescent="0.25">
      <c r="B151" s="341">
        <v>3</v>
      </c>
      <c r="C151" s="342">
        <v>25.065999999999999</v>
      </c>
      <c r="D151" s="342">
        <v>-4.0000000000000001E-3</v>
      </c>
      <c r="E151" s="342">
        <v>0.02</v>
      </c>
      <c r="F151" s="341">
        <v>3</v>
      </c>
      <c r="J151" s="341">
        <v>3</v>
      </c>
      <c r="K151" s="343">
        <v>24.66</v>
      </c>
      <c r="L151" s="342">
        <v>0.34</v>
      </c>
      <c r="M151" s="342">
        <v>0.21</v>
      </c>
      <c r="N151" s="341">
        <v>3</v>
      </c>
      <c r="O151" s="341">
        <v>3</v>
      </c>
      <c r="P151" s="343">
        <v>24.66</v>
      </c>
      <c r="Q151" s="342">
        <v>0.34</v>
      </c>
      <c r="R151" s="342">
        <v>0.21</v>
      </c>
      <c r="S151" s="341">
        <v>3</v>
      </c>
      <c r="V151" s="341">
        <v>3</v>
      </c>
      <c r="W151" s="344">
        <v>100</v>
      </c>
      <c r="X151" s="344">
        <v>2.2000000000000001E-4</v>
      </c>
      <c r="Y151" s="345">
        <v>2.5000000000000001E-3</v>
      </c>
      <c r="Z151" s="341">
        <v>3</v>
      </c>
      <c r="AA151" s="341">
        <v>3</v>
      </c>
      <c r="AB151" s="344">
        <v>100</v>
      </c>
      <c r="AC151" s="344">
        <v>2.2000000000000001E-4</v>
      </c>
      <c r="AD151" s="345">
        <v>2.5000000000000001E-3</v>
      </c>
      <c r="AE151" s="341">
        <v>3</v>
      </c>
      <c r="AG151" s="341">
        <v>3</v>
      </c>
      <c r="AH151" s="346">
        <v>5000</v>
      </c>
      <c r="AI151" s="347">
        <v>0</v>
      </c>
      <c r="AJ151" s="342">
        <v>0.2</v>
      </c>
      <c r="AK151" s="341">
        <v>3</v>
      </c>
      <c r="AL151" s="341">
        <v>3</v>
      </c>
      <c r="AM151" s="346">
        <v>5000</v>
      </c>
      <c r="AN151" s="347">
        <v>0</v>
      </c>
      <c r="AO151" s="342">
        <v>0.2</v>
      </c>
      <c r="AP151" s="341">
        <v>3</v>
      </c>
      <c r="AR151" s="341">
        <v>3</v>
      </c>
      <c r="AS151" s="342">
        <v>20</v>
      </c>
      <c r="AT151" s="342"/>
      <c r="AU151" s="342"/>
      <c r="AV151" s="341">
        <v>3</v>
      </c>
      <c r="AW151" s="341">
        <v>3</v>
      </c>
      <c r="AX151" s="342">
        <v>20</v>
      </c>
      <c r="AY151" s="342"/>
      <c r="AZ151" s="342"/>
      <c r="BA151" s="341">
        <v>3</v>
      </c>
    </row>
    <row r="152" spans="2:53" x14ac:dyDescent="0.25">
      <c r="B152" s="341">
        <v>4</v>
      </c>
      <c r="C152" s="342">
        <v>50.000999999999998</v>
      </c>
      <c r="D152" s="342">
        <v>-0.01</v>
      </c>
      <c r="E152" s="342">
        <v>0.02</v>
      </c>
      <c r="F152" s="341">
        <v>4</v>
      </c>
      <c r="J152" s="341">
        <v>4</v>
      </c>
      <c r="K152" s="343">
        <v>30.06</v>
      </c>
      <c r="L152" s="342">
        <v>0.3</v>
      </c>
      <c r="M152" s="342">
        <v>0.125</v>
      </c>
      <c r="N152" s="341">
        <v>4</v>
      </c>
      <c r="O152" s="341">
        <v>4</v>
      </c>
      <c r="P152" s="343">
        <v>30.06</v>
      </c>
      <c r="Q152" s="342">
        <v>0.3</v>
      </c>
      <c r="R152" s="342">
        <v>0.125</v>
      </c>
      <c r="S152" s="341">
        <v>4</v>
      </c>
      <c r="V152" s="341">
        <v>4</v>
      </c>
      <c r="W152" s="344">
        <v>200</v>
      </c>
      <c r="X152" s="344">
        <v>1.7000000000000001E-4</v>
      </c>
      <c r="Y152" s="345">
        <v>2.5000000000000001E-3</v>
      </c>
      <c r="Z152" s="341">
        <v>4</v>
      </c>
      <c r="AA152" s="341">
        <v>4</v>
      </c>
      <c r="AB152" s="344">
        <v>200</v>
      </c>
      <c r="AC152" s="344">
        <v>1.7000000000000001E-4</v>
      </c>
      <c r="AD152" s="345">
        <v>2.5000000000000001E-3</v>
      </c>
      <c r="AE152" s="341">
        <v>4</v>
      </c>
      <c r="AG152" s="341">
        <v>4</v>
      </c>
      <c r="AH152" s="346">
        <v>10000</v>
      </c>
      <c r="AI152" s="347">
        <v>0</v>
      </c>
      <c r="AJ152" s="342">
        <v>0.2</v>
      </c>
      <c r="AK152" s="341">
        <v>4</v>
      </c>
      <c r="AL152" s="341">
        <v>4</v>
      </c>
      <c r="AM152" s="346">
        <v>10000</v>
      </c>
      <c r="AN152" s="347">
        <v>0</v>
      </c>
      <c r="AO152" s="342">
        <v>0.2</v>
      </c>
      <c r="AP152" s="341">
        <v>4</v>
      </c>
      <c r="AR152" s="341">
        <v>4</v>
      </c>
      <c r="AS152" s="342">
        <v>50</v>
      </c>
      <c r="AT152" s="342"/>
      <c r="AU152" s="342"/>
      <c r="AV152" s="341">
        <v>4</v>
      </c>
      <c r="AW152" s="341">
        <v>4</v>
      </c>
      <c r="AX152" s="342">
        <v>50</v>
      </c>
      <c r="AY152" s="342"/>
      <c r="AZ152" s="342"/>
      <c r="BA152" s="341">
        <v>4</v>
      </c>
    </row>
    <row r="153" spans="2:53" x14ac:dyDescent="0.25">
      <c r="B153" s="341">
        <v>5</v>
      </c>
      <c r="C153" s="342">
        <v>99.995000000000005</v>
      </c>
      <c r="D153" s="342">
        <v>-4.0000000000000001E-3</v>
      </c>
      <c r="E153" s="342">
        <v>0.02</v>
      </c>
      <c r="F153" s="341">
        <v>5</v>
      </c>
      <c r="J153" s="341">
        <v>5</v>
      </c>
      <c r="K153" s="343"/>
      <c r="L153" s="342"/>
      <c r="M153" s="342"/>
      <c r="N153" s="341">
        <v>5</v>
      </c>
      <c r="O153" s="341">
        <v>5</v>
      </c>
      <c r="P153" s="343"/>
      <c r="Q153" s="342"/>
      <c r="R153" s="342"/>
      <c r="S153" s="341">
        <v>5</v>
      </c>
      <c r="V153" s="341">
        <v>5</v>
      </c>
      <c r="W153" s="344">
        <v>300</v>
      </c>
      <c r="X153" s="344">
        <v>2.4000000000000001E-4</v>
      </c>
      <c r="Y153" s="345">
        <v>2.5000000000000001E-3</v>
      </c>
      <c r="Z153" s="341">
        <v>5</v>
      </c>
      <c r="AA153" s="341">
        <v>5</v>
      </c>
      <c r="AB153" s="344">
        <v>300</v>
      </c>
      <c r="AC153" s="344">
        <v>2.4000000000000001E-4</v>
      </c>
      <c r="AD153" s="345">
        <v>2.5000000000000001E-3</v>
      </c>
      <c r="AE153" s="341">
        <v>5</v>
      </c>
      <c r="AG153" s="341">
        <v>5</v>
      </c>
      <c r="AH153" s="346">
        <v>20000</v>
      </c>
      <c r="AI153" s="347">
        <v>0</v>
      </c>
      <c r="AJ153" s="342">
        <v>0.2</v>
      </c>
      <c r="AK153" s="341">
        <v>5</v>
      </c>
      <c r="AL153" s="341">
        <v>5</v>
      </c>
      <c r="AM153" s="346">
        <v>20000</v>
      </c>
      <c r="AN153" s="347">
        <v>0</v>
      </c>
      <c r="AO153" s="342">
        <v>0.2</v>
      </c>
      <c r="AP153" s="341">
        <v>5</v>
      </c>
      <c r="AR153" s="341">
        <v>5</v>
      </c>
      <c r="AS153" s="342">
        <v>70</v>
      </c>
      <c r="AT153" s="342"/>
      <c r="AU153" s="342"/>
      <c r="AV153" s="341">
        <v>5</v>
      </c>
      <c r="AW153" s="341">
        <v>5</v>
      </c>
      <c r="AX153" s="342">
        <v>70</v>
      </c>
      <c r="AY153" s="342"/>
      <c r="AZ153" s="342"/>
      <c r="BA153" s="341">
        <v>5</v>
      </c>
    </row>
    <row r="154" spans="2:53" x14ac:dyDescent="0.25">
      <c r="B154" s="341">
        <v>6</v>
      </c>
      <c r="C154" s="342">
        <v>150.16800000000001</v>
      </c>
      <c r="D154" s="342">
        <v>0</v>
      </c>
      <c r="E154" s="342">
        <v>2.5999999999999999E-2</v>
      </c>
      <c r="F154" s="341">
        <v>6</v>
      </c>
      <c r="J154" s="341">
        <v>6</v>
      </c>
      <c r="K154" s="343"/>
      <c r="L154" s="342"/>
      <c r="M154" s="342"/>
      <c r="N154" s="341">
        <v>6</v>
      </c>
      <c r="O154" s="341">
        <v>6</v>
      </c>
      <c r="P154" s="343"/>
      <c r="Q154" s="342"/>
      <c r="R154" s="342"/>
      <c r="S154" s="341">
        <v>6</v>
      </c>
      <c r="V154" s="341">
        <v>6</v>
      </c>
      <c r="W154" s="344">
        <v>400</v>
      </c>
      <c r="X154" s="344">
        <v>1.6000000000000001E-4</v>
      </c>
      <c r="Y154" s="345">
        <v>2.5000000000000001E-3</v>
      </c>
      <c r="Z154" s="341">
        <v>6</v>
      </c>
      <c r="AA154" s="341">
        <v>6</v>
      </c>
      <c r="AB154" s="344">
        <v>400</v>
      </c>
      <c r="AC154" s="344">
        <v>1.6000000000000001E-4</v>
      </c>
      <c r="AD154" s="345">
        <v>2.5000000000000001E-3</v>
      </c>
      <c r="AE154" s="341">
        <v>6</v>
      </c>
      <c r="AG154" s="341">
        <v>6</v>
      </c>
      <c r="AH154" s="346">
        <v>32000</v>
      </c>
      <c r="AI154" s="347">
        <v>0</v>
      </c>
      <c r="AJ154" s="342">
        <v>0.2</v>
      </c>
      <c r="AK154" s="341">
        <v>6</v>
      </c>
      <c r="AL154" s="341">
        <v>6</v>
      </c>
      <c r="AM154" s="346">
        <v>32000</v>
      </c>
      <c r="AN154" s="347">
        <v>0</v>
      </c>
      <c r="AO154" s="342">
        <v>0.2</v>
      </c>
      <c r="AP154" s="341">
        <v>6</v>
      </c>
      <c r="AR154" s="341">
        <v>6</v>
      </c>
      <c r="AS154" s="342">
        <v>200</v>
      </c>
      <c r="AT154" s="342"/>
      <c r="AU154" s="342"/>
      <c r="AV154" s="341">
        <v>6</v>
      </c>
      <c r="AW154" s="341">
        <v>6</v>
      </c>
      <c r="AX154" s="342">
        <v>200</v>
      </c>
      <c r="AY154" s="342"/>
      <c r="AZ154" s="342"/>
      <c r="BA154" s="341">
        <v>6</v>
      </c>
    </row>
    <row r="155" spans="2:53" x14ac:dyDescent="0.25">
      <c r="B155" s="341">
        <v>7</v>
      </c>
      <c r="C155" s="342">
        <v>200.14400000000001</v>
      </c>
      <c r="D155" s="342">
        <v>-5.0000000000000001E-3</v>
      </c>
      <c r="E155" s="342">
        <v>2.5999999999999999E-2</v>
      </c>
      <c r="F155" s="341">
        <v>7</v>
      </c>
      <c r="J155" s="341">
        <v>7</v>
      </c>
      <c r="K155" s="343"/>
      <c r="L155" s="342"/>
      <c r="M155" s="342"/>
      <c r="N155" s="341">
        <v>7</v>
      </c>
      <c r="O155" s="341">
        <v>7</v>
      </c>
      <c r="P155" s="343"/>
      <c r="Q155" s="342"/>
      <c r="R155" s="342"/>
      <c r="S155" s="341">
        <v>7</v>
      </c>
      <c r="V155" s="341">
        <v>7</v>
      </c>
      <c r="W155" s="344">
        <v>500</v>
      </c>
      <c r="X155" s="344">
        <v>-1.9000000000000001E-4</v>
      </c>
      <c r="Y155" s="345">
        <v>2.5000000000000001E-3</v>
      </c>
      <c r="Z155" s="341">
        <v>7</v>
      </c>
      <c r="AA155" s="341">
        <v>7</v>
      </c>
      <c r="AB155" s="344">
        <v>500</v>
      </c>
      <c r="AC155" s="344">
        <v>-1.9000000000000001E-4</v>
      </c>
      <c r="AD155" s="345">
        <v>2.5000000000000001E-3</v>
      </c>
      <c r="AE155" s="341">
        <v>7</v>
      </c>
      <c r="AG155" s="341">
        <v>7</v>
      </c>
      <c r="AH155" s="346"/>
      <c r="AI155" s="347"/>
      <c r="AJ155" s="342"/>
      <c r="AK155" s="341">
        <v>7</v>
      </c>
      <c r="AL155" s="341">
        <v>7</v>
      </c>
      <c r="AM155" s="346"/>
      <c r="AN155" s="347"/>
      <c r="AO155" s="342"/>
      <c r="AP155" s="341">
        <v>7</v>
      </c>
      <c r="AR155" s="341">
        <v>7</v>
      </c>
      <c r="AS155" s="342">
        <v>500</v>
      </c>
      <c r="AT155" s="342"/>
      <c r="AU155" s="342"/>
      <c r="AV155" s="341">
        <v>7</v>
      </c>
      <c r="AW155" s="341">
        <v>7</v>
      </c>
      <c r="AX155" s="342">
        <v>500</v>
      </c>
      <c r="AY155" s="342"/>
      <c r="AZ155" s="342"/>
      <c r="BA155" s="341">
        <v>7</v>
      </c>
    </row>
    <row r="156" spans="2:53" x14ac:dyDescent="0.25">
      <c r="B156" s="341">
        <v>8</v>
      </c>
      <c r="C156" s="342">
        <v>250.02799999999999</v>
      </c>
      <c r="D156" s="342">
        <v>-1.6E-2</v>
      </c>
      <c r="E156" s="342">
        <v>2.5999999999999999E-2</v>
      </c>
      <c r="F156" s="341">
        <v>8</v>
      </c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V156" s="341">
        <v>8</v>
      </c>
      <c r="W156" s="342"/>
      <c r="X156" s="342"/>
      <c r="Y156" s="342"/>
      <c r="Z156" s="341">
        <v>8</v>
      </c>
      <c r="AA156" s="341">
        <v>8</v>
      </c>
      <c r="AB156" s="342"/>
      <c r="AC156" s="342"/>
      <c r="AD156" s="342"/>
      <c r="AE156" s="341">
        <v>8</v>
      </c>
      <c r="AG156" s="341">
        <v>8</v>
      </c>
      <c r="AH156" s="342"/>
      <c r="AI156" s="342"/>
      <c r="AJ156" s="342"/>
      <c r="AK156" s="341">
        <v>8</v>
      </c>
      <c r="AL156" s="341">
        <v>8</v>
      </c>
      <c r="AM156" s="342"/>
      <c r="AN156" s="342"/>
      <c r="AO156" s="342"/>
      <c r="AP156" s="341">
        <v>8</v>
      </c>
      <c r="AR156" s="341">
        <v>8</v>
      </c>
      <c r="AS156" s="342">
        <v>700</v>
      </c>
      <c r="AT156" s="342"/>
      <c r="AU156" s="342"/>
      <c r="AV156" s="341">
        <v>8</v>
      </c>
      <c r="AW156" s="341">
        <v>8</v>
      </c>
      <c r="AX156" s="342">
        <v>700</v>
      </c>
      <c r="AY156" s="342"/>
      <c r="AZ156" s="342"/>
      <c r="BA156" s="341">
        <v>8</v>
      </c>
    </row>
    <row r="157" spans="2:53" x14ac:dyDescent="0.25"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V157" s="341">
        <v>9</v>
      </c>
      <c r="W157" s="342"/>
      <c r="X157" s="342"/>
      <c r="Y157" s="342"/>
      <c r="Z157" s="341">
        <v>9</v>
      </c>
      <c r="AA157" s="341">
        <v>9</v>
      </c>
      <c r="AB157" s="342"/>
      <c r="AC157" s="342"/>
      <c r="AD157" s="342"/>
      <c r="AE157" s="341">
        <v>9</v>
      </c>
      <c r="AG157" s="341">
        <v>9</v>
      </c>
      <c r="AH157" s="342"/>
      <c r="AI157" s="342"/>
      <c r="AJ157" s="342"/>
      <c r="AK157" s="341">
        <v>9</v>
      </c>
      <c r="AL157" s="341">
        <v>9</v>
      </c>
      <c r="AM157" s="342"/>
      <c r="AN157" s="342"/>
      <c r="AO157" s="342"/>
      <c r="AP157" s="341">
        <v>9</v>
      </c>
      <c r="AR157" s="341">
        <v>9</v>
      </c>
      <c r="AS157" s="342">
        <v>1000</v>
      </c>
      <c r="AT157" s="342"/>
      <c r="AU157" s="342"/>
      <c r="AV157" s="341">
        <v>9</v>
      </c>
      <c r="AW157" s="341">
        <v>9</v>
      </c>
      <c r="AX157" s="342">
        <v>1000</v>
      </c>
      <c r="AY157" s="342"/>
      <c r="AZ157" s="342"/>
      <c r="BA157" s="341">
        <v>9</v>
      </c>
    </row>
    <row r="158" spans="2:53" ht="15.6" x14ac:dyDescent="0.3">
      <c r="B158" s="330"/>
      <c r="C158" s="580" t="s">
        <v>103</v>
      </c>
      <c r="D158" s="580"/>
      <c r="E158" s="580"/>
      <c r="F158" s="58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V158" s="341">
        <v>10</v>
      </c>
      <c r="W158" s="342"/>
      <c r="X158" s="342"/>
      <c r="Y158" s="342"/>
      <c r="Z158" s="341">
        <v>10</v>
      </c>
      <c r="AA158" s="341">
        <v>10</v>
      </c>
      <c r="AB158" s="342"/>
      <c r="AC158" s="342"/>
      <c r="AD158" s="342"/>
      <c r="AE158" s="341">
        <v>10</v>
      </c>
      <c r="AG158" s="341">
        <v>10</v>
      </c>
      <c r="AH158" s="342"/>
      <c r="AI158" s="342"/>
      <c r="AJ158" s="342"/>
      <c r="AK158" s="341">
        <v>10</v>
      </c>
      <c r="AL158" s="341">
        <v>10</v>
      </c>
      <c r="AM158" s="342"/>
      <c r="AN158" s="342"/>
      <c r="AO158" s="342"/>
      <c r="AP158" s="341">
        <v>10</v>
      </c>
      <c r="AR158" s="341">
        <v>10</v>
      </c>
      <c r="AS158" s="342">
        <v>1500</v>
      </c>
      <c r="AT158" s="342"/>
      <c r="AU158" s="342"/>
      <c r="AV158" s="341">
        <v>10</v>
      </c>
      <c r="AW158" s="341">
        <v>10</v>
      </c>
      <c r="AX158" s="342">
        <v>1500</v>
      </c>
      <c r="AY158" s="342"/>
      <c r="AZ158" s="342"/>
      <c r="BA158" s="341">
        <v>10</v>
      </c>
    </row>
    <row r="159" spans="2:53" ht="21" x14ac:dyDescent="0.3">
      <c r="B159" s="330"/>
      <c r="C159" s="331" t="s">
        <v>25</v>
      </c>
      <c r="D159" s="332" t="s">
        <v>3</v>
      </c>
      <c r="E159" s="333" t="s">
        <v>104</v>
      </c>
      <c r="F159" s="332" t="s">
        <v>26</v>
      </c>
      <c r="H159" s="128">
        <v>2</v>
      </c>
      <c r="J159" s="330"/>
      <c r="K159" s="584" t="s">
        <v>28</v>
      </c>
      <c r="L159" s="584"/>
      <c r="M159" s="584"/>
      <c r="N159" s="584"/>
      <c r="O159" s="330"/>
      <c r="P159" s="584" t="s">
        <v>28</v>
      </c>
      <c r="Q159" s="584"/>
      <c r="R159" s="584"/>
      <c r="S159" s="584"/>
    </row>
    <row r="160" spans="2:53" x14ac:dyDescent="0.25">
      <c r="B160" s="330"/>
      <c r="C160" s="334">
        <f>VLOOKUP(D160,C166:F173,4,FALSE)</f>
        <v>2</v>
      </c>
      <c r="D160" s="335">
        <f>VLOOKUP(D161,C166:E173,1,TRUE)</f>
        <v>-1.7000000000000001E-2</v>
      </c>
      <c r="E160" s="336">
        <f>VLOOKUP(D160,C166:E173,2,FALSE)</f>
        <v>-3.0000000000000001E-3</v>
      </c>
      <c r="F160" s="336">
        <f>VLOOKUP(D160,C166:E173,3,FALSE)</f>
        <v>0.02</v>
      </c>
      <c r="J160" s="330"/>
      <c r="K160" s="331" t="s">
        <v>25</v>
      </c>
      <c r="L160" s="332" t="s">
        <v>129</v>
      </c>
      <c r="M160" s="333" t="s">
        <v>104</v>
      </c>
      <c r="N160" s="332" t="s">
        <v>26</v>
      </c>
      <c r="O160" s="330"/>
      <c r="P160" s="331" t="s">
        <v>25</v>
      </c>
      <c r="Q160" s="332" t="s">
        <v>129</v>
      </c>
      <c r="R160" s="333" t="s">
        <v>104</v>
      </c>
      <c r="S160" s="332" t="s">
        <v>26</v>
      </c>
    </row>
    <row r="161" spans="2:53" ht="15.6" x14ac:dyDescent="0.3">
      <c r="B161" s="330"/>
      <c r="C161" s="335"/>
      <c r="D161" s="337">
        <f>[1]Datos!F27</f>
        <v>17.673999999999999</v>
      </c>
      <c r="E161" s="338">
        <f>(E162-E160)/(D162-D160)*(D161-D160)+E160</f>
        <v>-3.7052984092811867E-3</v>
      </c>
      <c r="F161" s="338">
        <f>(F162-F160)/(D162-D160)*(D161-D160)+F160</f>
        <v>0.02</v>
      </c>
      <c r="J161" s="330"/>
      <c r="K161" s="334">
        <f>VLOOKUP(L161,K167:N171,4,FALSE)</f>
        <v>1</v>
      </c>
      <c r="L161" s="335">
        <f>VLOOKUP(L162,K167:N171,1,TRUE)</f>
        <v>42.4</v>
      </c>
      <c r="M161" s="348">
        <f>VLOOKUP(L161,K167:M171,2,FALSE)</f>
        <v>-1.1000000000000001</v>
      </c>
      <c r="N161" s="348">
        <f>VLOOKUP(L161,K149:N171,3,FALSE)</f>
        <v>0.65</v>
      </c>
      <c r="O161" s="330"/>
      <c r="P161" s="334">
        <f>VLOOKUP(Q161,P167:S171,4,FALSE)</f>
        <v>1</v>
      </c>
      <c r="Q161" s="349">
        <f>VLOOKUP(Q162,P167:S171,1,TRUE)</f>
        <v>42.4</v>
      </c>
      <c r="R161" s="350">
        <f>VLOOKUP(Q161,P167:R171,2,FALSE)</f>
        <v>-1.1000000000000001</v>
      </c>
      <c r="S161" s="350">
        <f>VLOOKUP(Q161,P149:S171,3,FALSE)</f>
        <v>0.65</v>
      </c>
      <c r="V161" s="330"/>
      <c r="W161" s="580" t="s">
        <v>92</v>
      </c>
      <c r="X161" s="580"/>
      <c r="Y161" s="580"/>
      <c r="Z161" s="580"/>
      <c r="AA161" s="330"/>
      <c r="AB161" s="580" t="s">
        <v>136</v>
      </c>
      <c r="AC161" s="580"/>
      <c r="AD161" s="580"/>
      <c r="AE161" s="580"/>
      <c r="AG161" s="330"/>
      <c r="AH161" s="580" t="s">
        <v>92</v>
      </c>
      <c r="AI161" s="580"/>
      <c r="AJ161" s="580"/>
      <c r="AK161" s="580"/>
      <c r="AL161" s="330"/>
      <c r="AM161" s="580" t="s">
        <v>136</v>
      </c>
      <c r="AN161" s="580"/>
      <c r="AO161" s="580"/>
      <c r="AP161" s="580"/>
      <c r="AR161" s="330"/>
      <c r="AS161" s="580" t="s">
        <v>92</v>
      </c>
      <c r="AT161" s="580"/>
      <c r="AU161" s="580"/>
      <c r="AV161" s="580"/>
      <c r="AW161" s="330"/>
      <c r="AX161" s="580" t="s">
        <v>136</v>
      </c>
      <c r="AY161" s="580"/>
      <c r="AZ161" s="580"/>
      <c r="BA161" s="580"/>
    </row>
    <row r="162" spans="2:53" ht="39.6" x14ac:dyDescent="0.25">
      <c r="B162" s="330"/>
      <c r="C162" s="334">
        <f>C160+1</f>
        <v>3</v>
      </c>
      <c r="D162" s="335">
        <f>VLOOKUP(C160+1,B166:E173,2,FALSE)</f>
        <v>25.065999999999999</v>
      </c>
      <c r="E162" s="336">
        <f>VLOOKUP(D162,C166:E173,2,FALSE)</f>
        <v>-4.0000000000000001E-3</v>
      </c>
      <c r="F162" s="336">
        <f>VLOOKUP(D162,C166:E173,3,FALSE)</f>
        <v>0.02</v>
      </c>
      <c r="J162" s="330"/>
      <c r="K162" s="335"/>
      <c r="L162" s="337">
        <f>[1]Datos!N26</f>
        <v>50.8</v>
      </c>
      <c r="M162" s="351">
        <f>(M163-M161)/(L163-L161)*(L162-L161)+M161</f>
        <v>-0.61162790697674441</v>
      </c>
      <c r="N162" s="351">
        <f>(N163-N161)/(L163-L161)*(L162-L161)+N161</f>
        <v>0.65</v>
      </c>
      <c r="O162" s="330"/>
      <c r="P162" s="335"/>
      <c r="Q162" s="352">
        <f>[1]Datos!O26</f>
        <v>53</v>
      </c>
      <c r="R162" s="353">
        <f>(R163-R161)/(Q163-Q161)*(Q162-Q161)+R161</f>
        <v>-0.48372093023255824</v>
      </c>
      <c r="S162" s="353">
        <f>(S163-S161)/(Q163-Q161)*(Q162-Q161)+S161</f>
        <v>0.65</v>
      </c>
      <c r="V162" s="330"/>
      <c r="W162" s="331" t="s">
        <v>25</v>
      </c>
      <c r="X162" s="333" t="s">
        <v>137</v>
      </c>
      <c r="Y162" s="333" t="s">
        <v>229</v>
      </c>
      <c r="Z162" s="332" t="s">
        <v>26</v>
      </c>
      <c r="AA162" s="330"/>
      <c r="AB162" s="331" t="s">
        <v>25</v>
      </c>
      <c r="AC162" s="333" t="s">
        <v>137</v>
      </c>
      <c r="AD162" s="333" t="s">
        <v>229</v>
      </c>
      <c r="AE162" s="332" t="s">
        <v>26</v>
      </c>
      <c r="AG162" s="330"/>
      <c r="AH162" s="331" t="s">
        <v>25</v>
      </c>
      <c r="AI162" s="333" t="s">
        <v>137</v>
      </c>
      <c r="AJ162" s="333" t="s">
        <v>229</v>
      </c>
      <c r="AK162" s="332" t="s">
        <v>26</v>
      </c>
      <c r="AL162" s="330"/>
      <c r="AM162" s="331" t="s">
        <v>25</v>
      </c>
      <c r="AN162" s="333" t="s">
        <v>137</v>
      </c>
      <c r="AO162" s="333" t="s">
        <v>229</v>
      </c>
      <c r="AP162" s="332" t="s">
        <v>26</v>
      </c>
      <c r="AR162" s="330"/>
      <c r="AS162" s="331" t="s">
        <v>25</v>
      </c>
      <c r="AT162" s="333" t="s">
        <v>137</v>
      </c>
      <c r="AU162" s="333" t="s">
        <v>229</v>
      </c>
      <c r="AV162" s="332" t="s">
        <v>26</v>
      </c>
      <c r="AW162" s="330"/>
      <c r="AX162" s="331" t="s">
        <v>25</v>
      </c>
      <c r="AY162" s="333" t="s">
        <v>138</v>
      </c>
      <c r="AZ162" s="333" t="s">
        <v>104</v>
      </c>
      <c r="BA162" s="332" t="s">
        <v>26</v>
      </c>
    </row>
    <row r="163" spans="2:53" x14ac:dyDescent="0.25">
      <c r="B163" s="330"/>
      <c r="C163" s="330"/>
      <c r="D163" s="330"/>
      <c r="E163" s="330"/>
      <c r="F163" s="330"/>
      <c r="J163" s="330"/>
      <c r="K163" s="334">
        <f>K161+1</f>
        <v>2</v>
      </c>
      <c r="L163" s="335">
        <f>VLOOKUP(K161+1,J167:M171,2,FALSE)</f>
        <v>59.6</v>
      </c>
      <c r="M163" s="348">
        <f>VLOOKUP(L163,K167:M171,2,FALSE)</f>
        <v>-0.1</v>
      </c>
      <c r="N163" s="348">
        <f>VLOOKUP(L163,K167:N171,3,FALSE)</f>
        <v>0.65</v>
      </c>
      <c r="O163" s="330"/>
      <c r="P163" s="334">
        <f>P161+1</f>
        <v>2</v>
      </c>
      <c r="Q163" s="349">
        <f>VLOOKUP(P161+1,O167:R171,2,FALSE)</f>
        <v>59.6</v>
      </c>
      <c r="R163" s="350">
        <f>VLOOKUP(Q163,P167:R171,2,FALSE)</f>
        <v>-0.1</v>
      </c>
      <c r="S163" s="350">
        <f>VLOOKUP(Q163,P167:S171,3,FALSE)</f>
        <v>0.65</v>
      </c>
      <c r="V163" s="330"/>
      <c r="W163" s="334">
        <f>VLOOKUP(X163,W169:Z178,4,FALSE)</f>
        <v>2</v>
      </c>
      <c r="X163" s="335">
        <f>VLOOKUP(X164,W169:Y178,1,TRUE)</f>
        <v>1</v>
      </c>
      <c r="Y163" s="336">
        <f>VLOOKUP(X163,W169:Y178,2,FALSE)</f>
        <v>6.9999999999999994E-5</v>
      </c>
      <c r="Z163" s="336">
        <f>VLOOKUP(X163,W169:Y178,3,FALSE)</f>
        <v>2.5000000000000001E-3</v>
      </c>
      <c r="AA163" s="330"/>
      <c r="AB163" s="334">
        <f>VLOOKUP(AC163,AB169:AE178,4,FALSE)</f>
        <v>2</v>
      </c>
      <c r="AC163" s="335">
        <f>VLOOKUP(AC164,AB169:AE178,1,TRUE)</f>
        <v>1</v>
      </c>
      <c r="AD163" s="336">
        <f>VLOOKUP(AC163,AB169:AE175,2,FALSE)</f>
        <v>6.9999999999999994E-5</v>
      </c>
      <c r="AE163" s="336">
        <f>VLOOKUP(AC163,AB169:AE178,3,FALSE)</f>
        <v>2.5000000000000001E-3</v>
      </c>
      <c r="AG163" s="330"/>
      <c r="AH163" s="334">
        <f>VLOOKUP(AI163,AH169:AK178,4,FALSE)</f>
        <v>2</v>
      </c>
      <c r="AI163" s="335">
        <f>VLOOKUP(AI164,AH169:AJ178,1,TRUE)</f>
        <v>10</v>
      </c>
      <c r="AJ163" s="336">
        <f>VLOOKUP(AI163,AH169:AJ178,2,FALSE)</f>
        <v>0</v>
      </c>
      <c r="AK163" s="336">
        <f>VLOOKUP(AI163,AH169:AJ178,3,FALSE)</f>
        <v>0.2</v>
      </c>
      <c r="AL163" s="330"/>
      <c r="AM163" s="334">
        <f>VLOOKUP(AN163,AM169:AP178,4,FALSE)</f>
        <v>2</v>
      </c>
      <c r="AN163" s="335">
        <f>VLOOKUP(AN164,AM169:AP178,1,TRUE)</f>
        <v>10</v>
      </c>
      <c r="AO163" s="336">
        <f>VLOOKUP(AN163,AM169:AP175,2,FALSE)</f>
        <v>0</v>
      </c>
      <c r="AP163" s="336">
        <f>VLOOKUP(AN163,AM169:AP178,3,FALSE)</f>
        <v>0.2</v>
      </c>
      <c r="AR163" s="330"/>
      <c r="AS163" s="334">
        <f>VLOOKUP(AT163,AS169:AV178,4,FALSE)</f>
        <v>3</v>
      </c>
      <c r="AT163" s="335">
        <f>VLOOKUP(AT164,AS169:AU178,1,TRUE)</f>
        <v>20</v>
      </c>
      <c r="AU163" s="336">
        <f>VLOOKUP(AT163,AS169:AU178,2,FALSE)</f>
        <v>0</v>
      </c>
      <c r="AV163" s="336">
        <f>VLOOKUP(AT163,AS169:AU178,3,FALSE)</f>
        <v>0</v>
      </c>
      <c r="AW163" s="330"/>
      <c r="AX163" s="334">
        <f>VLOOKUP(AY163,AX169:BA178,4,FALSE)</f>
        <v>2</v>
      </c>
      <c r="AY163" s="335">
        <f>VLOOKUP(AY164,AX169:BA178,1,TRUE)</f>
        <v>10</v>
      </c>
      <c r="AZ163" s="336">
        <f>VLOOKUP(AY163,AX169:BA175,2,FALSE)</f>
        <v>0</v>
      </c>
      <c r="BA163" s="336">
        <f>VLOOKUP(AY163,AX169:BA178,3,FALSE)</f>
        <v>0</v>
      </c>
    </row>
    <row r="164" spans="2:53" ht="15.6" x14ac:dyDescent="0.3">
      <c r="B164" s="330"/>
      <c r="C164" s="580" t="s">
        <v>103</v>
      </c>
      <c r="D164" s="580"/>
      <c r="E164" s="580"/>
      <c r="F164" s="339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V164" s="330"/>
      <c r="W164" s="335"/>
      <c r="X164" s="337">
        <f>[1]Datos!D27</f>
        <v>26.6678</v>
      </c>
      <c r="Y164" s="338">
        <f>(Y165-Y163)/(X165-X163)*(X164-X163)+Y163</f>
        <v>1.0889060606060605E-4</v>
      </c>
      <c r="Z164" s="338">
        <f>(Z165-Z163)/(X165-X163)*(X164-X163)+Z163</f>
        <v>2.5000000000000001E-3</v>
      </c>
      <c r="AA164" s="330"/>
      <c r="AB164" s="335"/>
      <c r="AC164" s="337">
        <f>[1]Datos!E27</f>
        <v>16.693300000000001</v>
      </c>
      <c r="AD164" s="338">
        <f>(AD165-AD163)/(AC165-AC163)*(AC164-AC163)+AD163</f>
        <v>9.3777727272727264E-5</v>
      </c>
      <c r="AE164" s="338">
        <f>(AE165-AE163)/(AC165-AC163)*(AC164-AC163)+AE163</f>
        <v>2.5000000000000001E-3</v>
      </c>
      <c r="AG164" s="330"/>
      <c r="AH164" s="335"/>
      <c r="AI164" s="337">
        <f>X164</f>
        <v>26.6678</v>
      </c>
      <c r="AJ164" s="338">
        <f>(AJ165-AJ163)/(AI165-AI163)*(AI164-AI163)+AJ163</f>
        <v>0</v>
      </c>
      <c r="AK164" s="338">
        <f>(AK165-AK163)/(AI165-AI163)*(AI164-AI163)+AK163</f>
        <v>0.2</v>
      </c>
      <c r="AL164" s="330"/>
      <c r="AM164" s="335"/>
      <c r="AN164" s="337">
        <f>AC164</f>
        <v>16.693300000000001</v>
      </c>
      <c r="AO164" s="338">
        <f>(AO165-AO163)/(AN165-AN163)*(AN164-AN163)+AO163</f>
        <v>0</v>
      </c>
      <c r="AP164" s="338">
        <f>(AP165-AP163)/(AN165-AN163)*(AN164-AN163)+AP163</f>
        <v>0.2</v>
      </c>
      <c r="AR164" s="330"/>
      <c r="AS164" s="335"/>
      <c r="AT164" s="337">
        <f>AI164</f>
        <v>26.6678</v>
      </c>
      <c r="AU164" s="338">
        <f>(AU165-AU163)/(AT165-AT163)*(AT164-AT163)+AU163</f>
        <v>0</v>
      </c>
      <c r="AV164" s="338">
        <f>(AV165-AV163)/(AT165-AT163)*(AT164-AT163)+AV163</f>
        <v>0</v>
      </c>
      <c r="AW164" s="330"/>
      <c r="AX164" s="335"/>
      <c r="AY164" s="337">
        <f>AN164</f>
        <v>16.693300000000001</v>
      </c>
      <c r="AZ164" s="338">
        <f>(AZ165-AZ163)/(AY165-AY163)*(AY164-AY163)+AZ163</f>
        <v>0</v>
      </c>
      <c r="BA164" s="338">
        <f>(BA165-BA163)/(AY165-AY163)*(AY164-AY163)+BA163</f>
        <v>0</v>
      </c>
    </row>
    <row r="165" spans="2:53" ht="15.6" x14ac:dyDescent="0.3">
      <c r="B165" s="340"/>
      <c r="C165" s="333" t="s">
        <v>3</v>
      </c>
      <c r="D165" s="333" t="s">
        <v>229</v>
      </c>
      <c r="E165" s="333" t="s">
        <v>14</v>
      </c>
      <c r="F165" s="340"/>
      <c r="J165" s="330"/>
      <c r="K165" s="584" t="s">
        <v>130</v>
      </c>
      <c r="L165" s="584"/>
      <c r="M165" s="584"/>
      <c r="N165" s="584"/>
      <c r="O165" s="330"/>
      <c r="P165" s="584" t="s">
        <v>130</v>
      </c>
      <c r="Q165" s="584"/>
      <c r="R165" s="584"/>
      <c r="S165" s="584"/>
      <c r="V165" s="330"/>
      <c r="W165" s="334">
        <f>W163+1</f>
        <v>3</v>
      </c>
      <c r="X165" s="335">
        <f>VLOOKUP(W163+1,V169:Y178,2,FALSE)</f>
        <v>100</v>
      </c>
      <c r="Y165" s="336">
        <f>VLOOKUP(X165,W169:Y178,2,FALSE)</f>
        <v>2.2000000000000001E-4</v>
      </c>
      <c r="Z165" s="336">
        <f>VLOOKUP(X165,W169:Y178,3,FALSE)</f>
        <v>2.5000000000000001E-3</v>
      </c>
      <c r="AA165" s="330"/>
      <c r="AB165" s="334">
        <f>AB163+1</f>
        <v>3</v>
      </c>
      <c r="AC165" s="335">
        <f>VLOOKUP(AB163+1,AA169:AE178,2,FALSE)</f>
        <v>100</v>
      </c>
      <c r="AD165" s="336">
        <f>VLOOKUP(AC165,AB169:AE178,2,FALSE)</f>
        <v>2.2000000000000001E-4</v>
      </c>
      <c r="AE165" s="336">
        <f>VLOOKUP(AC165,AB169:AE178,3,FALSE)</f>
        <v>2.5000000000000001E-3</v>
      </c>
      <c r="AG165" s="330"/>
      <c r="AH165" s="334">
        <f>AH163+1</f>
        <v>3</v>
      </c>
      <c r="AI165" s="335">
        <f>VLOOKUP(AH163+1,AG169:AJ178,2,FALSE)</f>
        <v>5000</v>
      </c>
      <c r="AJ165" s="336">
        <f>VLOOKUP(AI165,AH169:AJ178,2,FALSE)</f>
        <v>0</v>
      </c>
      <c r="AK165" s="336">
        <f>VLOOKUP(AI165,AH169:AJ178,3,FALSE)</f>
        <v>0.2</v>
      </c>
      <c r="AL165" s="330"/>
      <c r="AM165" s="334">
        <f>AM163+1</f>
        <v>3</v>
      </c>
      <c r="AN165" s="335">
        <f>VLOOKUP(AM163+1,AL169:AP178,2,FALSE)</f>
        <v>5000</v>
      </c>
      <c r="AO165" s="336">
        <f>VLOOKUP(AN165,AM169:AP178,2,FALSE)</f>
        <v>0</v>
      </c>
      <c r="AP165" s="336">
        <f>VLOOKUP(AN165,AM169:AP178,3,FALSE)</f>
        <v>0.2</v>
      </c>
      <c r="AR165" s="330"/>
      <c r="AS165" s="334">
        <f>AS163+1</f>
        <v>4</v>
      </c>
      <c r="AT165" s="335">
        <f>VLOOKUP(AS163+1,AR169:AU178,2,FALSE)</f>
        <v>50</v>
      </c>
      <c r="AU165" s="336">
        <f>VLOOKUP(AT165,AS169:AU178,2,FALSE)</f>
        <v>0</v>
      </c>
      <c r="AV165" s="336">
        <f>VLOOKUP(AT165,AS169:AU178,3,FALSE)</f>
        <v>0</v>
      </c>
      <c r="AW165" s="330"/>
      <c r="AX165" s="334">
        <f>AX163+1</f>
        <v>3</v>
      </c>
      <c r="AY165" s="335">
        <f>VLOOKUP(AX163+1,AW169:BA178,2,FALSE)</f>
        <v>20</v>
      </c>
      <c r="AZ165" s="336">
        <f>VLOOKUP(AY165,AX169:BA178,2,FALSE)</f>
        <v>0</v>
      </c>
      <c r="BA165" s="336">
        <f>VLOOKUP(AY165,AX169:BA178,3,FALSE)</f>
        <v>0</v>
      </c>
    </row>
    <row r="166" spans="2:53" x14ac:dyDescent="0.25">
      <c r="B166" s="341">
        <v>1</v>
      </c>
      <c r="C166" s="342">
        <v>-30.047999999999998</v>
      </c>
      <c r="D166" s="342">
        <v>-2.1000000000000001E-2</v>
      </c>
      <c r="E166" s="342">
        <v>2.3E-2</v>
      </c>
      <c r="F166" s="341">
        <v>1</v>
      </c>
      <c r="J166" s="340"/>
      <c r="K166" s="333" t="s">
        <v>28</v>
      </c>
      <c r="L166" s="333" t="s">
        <v>229</v>
      </c>
      <c r="M166" s="333" t="s">
        <v>14</v>
      </c>
      <c r="N166" s="340"/>
      <c r="O166" s="340"/>
      <c r="P166" s="333" t="s">
        <v>28</v>
      </c>
      <c r="Q166" s="333" t="s">
        <v>229</v>
      </c>
      <c r="R166" s="333" t="s">
        <v>14</v>
      </c>
      <c r="S166" s="34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G166" s="330"/>
      <c r="AH166" s="330"/>
      <c r="AI166" s="330"/>
      <c r="AJ166" s="330"/>
      <c r="AK166" s="330"/>
      <c r="AL166" s="330"/>
      <c r="AM166" s="330"/>
      <c r="AN166" s="330"/>
      <c r="AO166" s="330"/>
      <c r="AP166" s="330"/>
      <c r="AR166" s="330"/>
      <c r="AS166" s="330"/>
      <c r="AT166" s="330"/>
      <c r="AU166" s="330"/>
      <c r="AV166" s="330"/>
      <c r="AW166" s="330"/>
      <c r="AX166" s="330"/>
      <c r="AY166" s="330"/>
      <c r="AZ166" s="330"/>
      <c r="BA166" s="330"/>
    </row>
    <row r="167" spans="2:53" ht="26.4" x14ac:dyDescent="0.3">
      <c r="B167" s="341">
        <v>2</v>
      </c>
      <c r="C167" s="342">
        <v>-1.7000000000000001E-2</v>
      </c>
      <c r="D167" s="342">
        <v>-3.0000000000000001E-3</v>
      </c>
      <c r="E167" s="342">
        <v>0.02</v>
      </c>
      <c r="F167" s="341">
        <v>2</v>
      </c>
      <c r="J167" s="341">
        <v>1</v>
      </c>
      <c r="K167" s="354">
        <v>42.4</v>
      </c>
      <c r="L167" s="355">
        <v>-1.1000000000000001</v>
      </c>
      <c r="M167" s="355">
        <v>0.65</v>
      </c>
      <c r="N167" s="341">
        <v>1</v>
      </c>
      <c r="O167" s="341">
        <v>1</v>
      </c>
      <c r="P167" s="354">
        <v>42.4</v>
      </c>
      <c r="Q167" s="355">
        <v>-1.1000000000000001</v>
      </c>
      <c r="R167" s="355">
        <v>0.65</v>
      </c>
      <c r="S167" s="341">
        <v>1</v>
      </c>
      <c r="V167" s="330"/>
      <c r="W167" s="333" t="s">
        <v>139</v>
      </c>
      <c r="X167" s="333" t="s">
        <v>229</v>
      </c>
      <c r="Y167" s="333" t="s">
        <v>14</v>
      </c>
      <c r="Z167" s="339"/>
      <c r="AA167" s="339"/>
      <c r="AB167" s="333" t="s">
        <v>139</v>
      </c>
      <c r="AC167" s="333" t="s">
        <v>229</v>
      </c>
      <c r="AD167" s="333" t="s">
        <v>14</v>
      </c>
      <c r="AE167" s="339"/>
      <c r="AG167" s="330"/>
      <c r="AH167" s="333" t="s">
        <v>139</v>
      </c>
      <c r="AI167" s="333" t="s">
        <v>228</v>
      </c>
      <c r="AJ167" s="333" t="s">
        <v>14</v>
      </c>
      <c r="AK167" s="339"/>
      <c r="AL167" s="339"/>
      <c r="AM167" s="333" t="s">
        <v>139</v>
      </c>
      <c r="AN167" s="333" t="s">
        <v>228</v>
      </c>
      <c r="AO167" s="333" t="s">
        <v>14</v>
      </c>
      <c r="AP167" s="339"/>
      <c r="AR167" s="330"/>
      <c r="AS167" s="333" t="s">
        <v>139</v>
      </c>
      <c r="AT167" s="333" t="s">
        <v>228</v>
      </c>
      <c r="AU167" s="333" t="s">
        <v>14</v>
      </c>
      <c r="AV167" s="339"/>
      <c r="AW167" s="339"/>
      <c r="AX167" s="333" t="s">
        <v>139</v>
      </c>
      <c r="AY167" s="333" t="s">
        <v>228</v>
      </c>
      <c r="AZ167" s="333" t="s">
        <v>14</v>
      </c>
      <c r="BA167" s="339"/>
    </row>
    <row r="168" spans="2:53" x14ac:dyDescent="0.25">
      <c r="B168" s="341">
        <v>3</v>
      </c>
      <c r="C168" s="342">
        <v>25.065999999999999</v>
      </c>
      <c r="D168" s="342">
        <v>-4.0000000000000001E-3</v>
      </c>
      <c r="E168" s="342">
        <v>0.02</v>
      </c>
      <c r="F168" s="341">
        <v>3</v>
      </c>
      <c r="J168" s="341">
        <v>2</v>
      </c>
      <c r="K168" s="354">
        <v>59.6</v>
      </c>
      <c r="L168" s="355">
        <v>-0.1</v>
      </c>
      <c r="M168" s="355">
        <v>0.65</v>
      </c>
      <c r="N168" s="341">
        <v>2</v>
      </c>
      <c r="O168" s="341">
        <v>2</v>
      </c>
      <c r="P168" s="354">
        <v>59.6</v>
      </c>
      <c r="Q168" s="355">
        <v>-0.1</v>
      </c>
      <c r="R168" s="355">
        <v>0.65</v>
      </c>
      <c r="S168" s="341">
        <v>2</v>
      </c>
      <c r="V168" s="340"/>
      <c r="W168" s="333" t="s">
        <v>91</v>
      </c>
      <c r="X168" s="333" t="s">
        <v>91</v>
      </c>
      <c r="Y168" s="333" t="s">
        <v>91</v>
      </c>
      <c r="Z168" s="340"/>
      <c r="AA168" s="340"/>
      <c r="AB168" s="333" t="s">
        <v>91</v>
      </c>
      <c r="AC168" s="333" t="s">
        <v>91</v>
      </c>
      <c r="AD168" s="333" t="s">
        <v>91</v>
      </c>
      <c r="AE168" s="340"/>
      <c r="AG168" s="340"/>
      <c r="AH168" s="333" t="s">
        <v>91</v>
      </c>
      <c r="AI168" s="333" t="s">
        <v>91</v>
      </c>
      <c r="AJ168" s="333" t="s">
        <v>91</v>
      </c>
      <c r="AK168" s="340"/>
      <c r="AL168" s="340"/>
      <c r="AM168" s="333" t="s">
        <v>91</v>
      </c>
      <c r="AN168" s="333" t="s">
        <v>91</v>
      </c>
      <c r="AO168" s="333" t="s">
        <v>91</v>
      </c>
      <c r="AP168" s="340"/>
      <c r="AR168" s="340"/>
      <c r="AS168" s="333" t="s">
        <v>91</v>
      </c>
      <c r="AT168" s="333" t="s">
        <v>91</v>
      </c>
      <c r="AU168" s="333" t="s">
        <v>91</v>
      </c>
      <c r="AV168" s="340"/>
      <c r="AW168" s="340"/>
      <c r="AX168" s="333" t="s">
        <v>91</v>
      </c>
      <c r="AY168" s="333" t="s">
        <v>91</v>
      </c>
      <c r="AZ168" s="333" t="s">
        <v>91</v>
      </c>
      <c r="BA168" s="340"/>
    </row>
    <row r="169" spans="2:53" x14ac:dyDescent="0.25">
      <c r="B169" s="341">
        <v>4</v>
      </c>
      <c r="C169" s="342">
        <v>50.000999999999998</v>
      </c>
      <c r="D169" s="342">
        <v>-0.01</v>
      </c>
      <c r="E169" s="342">
        <v>0.02</v>
      </c>
      <c r="F169" s="341">
        <v>4</v>
      </c>
      <c r="J169" s="341">
        <v>3</v>
      </c>
      <c r="K169" s="354">
        <v>86</v>
      </c>
      <c r="L169" s="355">
        <v>-1.1000000000000001</v>
      </c>
      <c r="M169" s="355">
        <v>0.65</v>
      </c>
      <c r="N169" s="341">
        <v>3</v>
      </c>
      <c r="O169" s="341">
        <v>3</v>
      </c>
      <c r="P169" s="354">
        <v>86</v>
      </c>
      <c r="Q169" s="355">
        <v>-1.1000000000000001</v>
      </c>
      <c r="R169" s="355">
        <v>0.65</v>
      </c>
      <c r="S169" s="341">
        <v>3</v>
      </c>
      <c r="V169" s="341">
        <v>1</v>
      </c>
      <c r="W169" s="344">
        <v>0</v>
      </c>
      <c r="X169" s="344">
        <v>0</v>
      </c>
      <c r="Y169" s="345">
        <v>1.6000000000000001E-4</v>
      </c>
      <c r="Z169" s="341">
        <v>1</v>
      </c>
      <c r="AA169" s="341">
        <v>1</v>
      </c>
      <c r="AB169" s="344">
        <v>0</v>
      </c>
      <c r="AC169" s="344">
        <v>0</v>
      </c>
      <c r="AD169" s="345">
        <v>1.6000000000000001E-4</v>
      </c>
      <c r="AE169" s="341">
        <v>1</v>
      </c>
      <c r="AG169" s="341">
        <v>1</v>
      </c>
      <c r="AH169" s="346">
        <v>0</v>
      </c>
      <c r="AI169" s="347">
        <v>0</v>
      </c>
      <c r="AJ169" s="342">
        <v>0.05</v>
      </c>
      <c r="AK169" s="341">
        <v>1</v>
      </c>
      <c r="AL169" s="341">
        <v>1</v>
      </c>
      <c r="AM169" s="346">
        <v>0</v>
      </c>
      <c r="AN169" s="347">
        <v>0</v>
      </c>
      <c r="AO169" s="342">
        <v>0.05</v>
      </c>
      <c r="AP169" s="341">
        <v>1</v>
      </c>
      <c r="AR169" s="341">
        <v>1</v>
      </c>
      <c r="AS169" s="342">
        <v>0</v>
      </c>
      <c r="AT169" s="342"/>
      <c r="AU169" s="342"/>
      <c r="AV169" s="341">
        <v>1</v>
      </c>
      <c r="AW169" s="341">
        <v>1</v>
      </c>
      <c r="AX169" s="342">
        <v>0</v>
      </c>
      <c r="AY169" s="342"/>
      <c r="AZ169" s="342"/>
      <c r="BA169" s="341">
        <v>1</v>
      </c>
    </row>
    <row r="170" spans="2:53" x14ac:dyDescent="0.25">
      <c r="B170" s="341">
        <v>5</v>
      </c>
      <c r="C170" s="342">
        <v>99.995000000000005</v>
      </c>
      <c r="D170" s="342">
        <v>-4.0000000000000001E-3</v>
      </c>
      <c r="E170" s="342">
        <v>0.02</v>
      </c>
      <c r="F170" s="341">
        <v>5</v>
      </c>
      <c r="J170" s="341">
        <v>4</v>
      </c>
      <c r="K170" s="354"/>
      <c r="L170" s="355"/>
      <c r="M170" s="355"/>
      <c r="N170" s="341">
        <v>4</v>
      </c>
      <c r="O170" s="341">
        <v>4</v>
      </c>
      <c r="P170" s="354"/>
      <c r="Q170" s="355"/>
      <c r="R170" s="355"/>
      <c r="S170" s="341">
        <v>4</v>
      </c>
      <c r="V170" s="341">
        <v>2</v>
      </c>
      <c r="W170" s="344">
        <v>1</v>
      </c>
      <c r="X170" s="344">
        <v>6.9999999999999994E-5</v>
      </c>
      <c r="Y170" s="345">
        <v>2.5000000000000001E-3</v>
      </c>
      <c r="Z170" s="341">
        <v>2</v>
      </c>
      <c r="AA170" s="341">
        <v>2</v>
      </c>
      <c r="AB170" s="344">
        <v>1</v>
      </c>
      <c r="AC170" s="344">
        <v>6.9999999999999994E-5</v>
      </c>
      <c r="AD170" s="345">
        <v>2.5000000000000001E-3</v>
      </c>
      <c r="AE170" s="341">
        <v>2</v>
      </c>
      <c r="AG170" s="341">
        <v>2</v>
      </c>
      <c r="AH170" s="346">
        <v>10</v>
      </c>
      <c r="AI170" s="347">
        <v>0</v>
      </c>
      <c r="AJ170" s="342">
        <v>0.2</v>
      </c>
      <c r="AK170" s="341">
        <v>2</v>
      </c>
      <c r="AL170" s="341">
        <v>2</v>
      </c>
      <c r="AM170" s="346">
        <v>10</v>
      </c>
      <c r="AN170" s="347">
        <v>0</v>
      </c>
      <c r="AO170" s="342">
        <v>0.2</v>
      </c>
      <c r="AP170" s="341">
        <v>2</v>
      </c>
      <c r="AR170" s="341">
        <v>2</v>
      </c>
      <c r="AS170" s="342">
        <v>10</v>
      </c>
      <c r="AT170" s="342"/>
      <c r="AU170" s="342"/>
      <c r="AV170" s="341">
        <v>2</v>
      </c>
      <c r="AW170" s="341">
        <v>2</v>
      </c>
      <c r="AX170" s="342">
        <v>10</v>
      </c>
      <c r="AY170" s="342"/>
      <c r="AZ170" s="342"/>
      <c r="BA170" s="341">
        <v>2</v>
      </c>
    </row>
    <row r="171" spans="2:53" x14ac:dyDescent="0.25">
      <c r="B171" s="341">
        <v>6</v>
      </c>
      <c r="C171" s="342">
        <v>150.16800000000001</v>
      </c>
      <c r="D171" s="342">
        <v>0</v>
      </c>
      <c r="E171" s="342">
        <v>2.5999999999999999E-2</v>
      </c>
      <c r="F171" s="341">
        <v>6</v>
      </c>
      <c r="J171" s="341">
        <v>5</v>
      </c>
      <c r="K171" s="354"/>
      <c r="L171" s="355"/>
      <c r="M171" s="355"/>
      <c r="N171" s="341">
        <v>5</v>
      </c>
      <c r="O171" s="341">
        <v>5</v>
      </c>
      <c r="P171" s="354"/>
      <c r="Q171" s="355"/>
      <c r="R171" s="355"/>
      <c r="S171" s="341">
        <v>5</v>
      </c>
      <c r="V171" s="341">
        <v>3</v>
      </c>
      <c r="W171" s="344">
        <v>100</v>
      </c>
      <c r="X171" s="344">
        <v>2.2000000000000001E-4</v>
      </c>
      <c r="Y171" s="345">
        <v>2.5000000000000001E-3</v>
      </c>
      <c r="Z171" s="341">
        <v>3</v>
      </c>
      <c r="AA171" s="341">
        <v>3</v>
      </c>
      <c r="AB171" s="344">
        <v>100</v>
      </c>
      <c r="AC171" s="344">
        <v>2.2000000000000001E-4</v>
      </c>
      <c r="AD171" s="345">
        <v>2.5000000000000001E-3</v>
      </c>
      <c r="AE171" s="341">
        <v>3</v>
      </c>
      <c r="AG171" s="341">
        <v>3</v>
      </c>
      <c r="AH171" s="346">
        <v>5000</v>
      </c>
      <c r="AI171" s="347">
        <v>0</v>
      </c>
      <c r="AJ171" s="342">
        <v>0.2</v>
      </c>
      <c r="AK171" s="341">
        <v>3</v>
      </c>
      <c r="AL171" s="341">
        <v>3</v>
      </c>
      <c r="AM171" s="346">
        <v>5000</v>
      </c>
      <c r="AN171" s="347">
        <v>0</v>
      </c>
      <c r="AO171" s="342">
        <v>0.2</v>
      </c>
      <c r="AP171" s="341">
        <v>3</v>
      </c>
      <c r="AR171" s="341">
        <v>3</v>
      </c>
      <c r="AS171" s="342">
        <v>20</v>
      </c>
      <c r="AT171" s="342"/>
      <c r="AU171" s="342"/>
      <c r="AV171" s="341">
        <v>3</v>
      </c>
      <c r="AW171" s="341">
        <v>3</v>
      </c>
      <c r="AX171" s="342">
        <v>20</v>
      </c>
      <c r="AY171" s="342"/>
      <c r="AZ171" s="342"/>
      <c r="BA171" s="341">
        <v>3</v>
      </c>
    </row>
    <row r="172" spans="2:53" x14ac:dyDescent="0.25">
      <c r="B172" s="341">
        <v>7</v>
      </c>
      <c r="C172" s="342">
        <v>200.14400000000001</v>
      </c>
      <c r="D172" s="342">
        <v>-5.0000000000000001E-3</v>
      </c>
      <c r="E172" s="342">
        <v>2.5999999999999999E-2</v>
      </c>
      <c r="F172" s="341">
        <v>7</v>
      </c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V172" s="341">
        <v>4</v>
      </c>
      <c r="W172" s="344">
        <v>200</v>
      </c>
      <c r="X172" s="344">
        <v>1.7000000000000001E-4</v>
      </c>
      <c r="Y172" s="345">
        <v>2.5000000000000001E-3</v>
      </c>
      <c r="Z172" s="341">
        <v>4</v>
      </c>
      <c r="AA172" s="341">
        <v>4</v>
      </c>
      <c r="AB172" s="344">
        <v>200</v>
      </c>
      <c r="AC172" s="344">
        <v>1.7000000000000001E-4</v>
      </c>
      <c r="AD172" s="345">
        <v>2.5000000000000001E-3</v>
      </c>
      <c r="AE172" s="341">
        <v>4</v>
      </c>
      <c r="AG172" s="341">
        <v>4</v>
      </c>
      <c r="AH172" s="346">
        <v>10000</v>
      </c>
      <c r="AI172" s="347">
        <v>0</v>
      </c>
      <c r="AJ172" s="342">
        <v>0.2</v>
      </c>
      <c r="AK172" s="341">
        <v>4</v>
      </c>
      <c r="AL172" s="341">
        <v>4</v>
      </c>
      <c r="AM172" s="346">
        <v>10000</v>
      </c>
      <c r="AN172" s="347">
        <v>0</v>
      </c>
      <c r="AO172" s="342">
        <v>0.2</v>
      </c>
      <c r="AP172" s="341">
        <v>4</v>
      </c>
      <c r="AR172" s="341">
        <v>4</v>
      </c>
      <c r="AS172" s="342">
        <v>50</v>
      </c>
      <c r="AT172" s="342"/>
      <c r="AU172" s="342"/>
      <c r="AV172" s="341">
        <v>4</v>
      </c>
      <c r="AW172" s="341">
        <v>4</v>
      </c>
      <c r="AX172" s="342">
        <v>50</v>
      </c>
      <c r="AY172" s="342"/>
      <c r="AZ172" s="342"/>
      <c r="BA172" s="341">
        <v>4</v>
      </c>
    </row>
    <row r="173" spans="2:53" x14ac:dyDescent="0.25">
      <c r="B173" s="341">
        <v>8</v>
      </c>
      <c r="C173" s="342">
        <v>250.02799999999999</v>
      </c>
      <c r="D173" s="342">
        <v>-1.6E-2</v>
      </c>
      <c r="E173" s="342">
        <v>2.5999999999999999E-2</v>
      </c>
      <c r="F173" s="341">
        <v>8</v>
      </c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V173" s="341">
        <v>5</v>
      </c>
      <c r="W173" s="344">
        <v>300</v>
      </c>
      <c r="X173" s="344">
        <v>2.4000000000000001E-4</v>
      </c>
      <c r="Y173" s="345">
        <v>2.5000000000000001E-3</v>
      </c>
      <c r="Z173" s="341">
        <v>5</v>
      </c>
      <c r="AA173" s="341">
        <v>5</v>
      </c>
      <c r="AB173" s="344">
        <v>300</v>
      </c>
      <c r="AC173" s="344">
        <v>2.4000000000000001E-4</v>
      </c>
      <c r="AD173" s="345">
        <v>2.5000000000000001E-3</v>
      </c>
      <c r="AE173" s="341">
        <v>5</v>
      </c>
      <c r="AG173" s="341">
        <v>5</v>
      </c>
      <c r="AH173" s="346">
        <v>20000</v>
      </c>
      <c r="AI173" s="347">
        <v>0</v>
      </c>
      <c r="AJ173" s="342">
        <v>0.2</v>
      </c>
      <c r="AK173" s="341">
        <v>5</v>
      </c>
      <c r="AL173" s="341">
        <v>5</v>
      </c>
      <c r="AM173" s="346">
        <v>20000</v>
      </c>
      <c r="AN173" s="347">
        <v>0</v>
      </c>
      <c r="AO173" s="342">
        <v>0.2</v>
      </c>
      <c r="AP173" s="341">
        <v>5</v>
      </c>
      <c r="AR173" s="341">
        <v>5</v>
      </c>
      <c r="AS173" s="342">
        <v>70</v>
      </c>
      <c r="AT173" s="342"/>
      <c r="AU173" s="342"/>
      <c r="AV173" s="341">
        <v>5</v>
      </c>
      <c r="AW173" s="341">
        <v>5</v>
      </c>
      <c r="AX173" s="342">
        <v>70</v>
      </c>
      <c r="AY173" s="342"/>
      <c r="AZ173" s="342"/>
      <c r="BA173" s="341">
        <v>5</v>
      </c>
    </row>
    <row r="174" spans="2:53" ht="15.6" x14ac:dyDescent="0.3">
      <c r="J174" s="330"/>
      <c r="K174" s="580" t="s">
        <v>131</v>
      </c>
      <c r="L174" s="580"/>
      <c r="M174" s="580"/>
      <c r="N174" s="580"/>
      <c r="O174" s="330"/>
      <c r="P174" s="580" t="s">
        <v>131</v>
      </c>
      <c r="Q174" s="580"/>
      <c r="R174" s="580"/>
      <c r="S174" s="580"/>
      <c r="V174" s="341">
        <v>6</v>
      </c>
      <c r="W174" s="344">
        <v>400</v>
      </c>
      <c r="X174" s="344">
        <v>1.6000000000000001E-4</v>
      </c>
      <c r="Y174" s="345">
        <v>2.5000000000000001E-3</v>
      </c>
      <c r="Z174" s="341">
        <v>6</v>
      </c>
      <c r="AA174" s="341">
        <v>6</v>
      </c>
      <c r="AB174" s="344">
        <v>400</v>
      </c>
      <c r="AC174" s="344">
        <v>1.6000000000000001E-4</v>
      </c>
      <c r="AD174" s="345">
        <v>2.5000000000000001E-3</v>
      </c>
      <c r="AE174" s="341">
        <v>6</v>
      </c>
      <c r="AG174" s="341">
        <v>6</v>
      </c>
      <c r="AH174" s="346">
        <v>32000</v>
      </c>
      <c r="AI174" s="347">
        <v>0</v>
      </c>
      <c r="AJ174" s="342">
        <v>0.2</v>
      </c>
      <c r="AK174" s="341">
        <v>6</v>
      </c>
      <c r="AL174" s="341">
        <v>6</v>
      </c>
      <c r="AM174" s="346">
        <v>32000</v>
      </c>
      <c r="AN174" s="347">
        <v>0</v>
      </c>
      <c r="AO174" s="342">
        <v>0.2</v>
      </c>
      <c r="AP174" s="341">
        <v>6</v>
      </c>
      <c r="AR174" s="341">
        <v>6</v>
      </c>
      <c r="AS174" s="342">
        <v>200</v>
      </c>
      <c r="AT174" s="342"/>
      <c r="AU174" s="342"/>
      <c r="AV174" s="341">
        <v>6</v>
      </c>
      <c r="AW174" s="341">
        <v>6</v>
      </c>
      <c r="AX174" s="342">
        <v>200</v>
      </c>
      <c r="AY174" s="342"/>
      <c r="AZ174" s="342"/>
      <c r="BA174" s="341">
        <v>6</v>
      </c>
    </row>
    <row r="175" spans="2:53" ht="15.6" x14ac:dyDescent="0.3">
      <c r="B175" s="330"/>
      <c r="C175" s="580" t="s">
        <v>103</v>
      </c>
      <c r="D175" s="580"/>
      <c r="E175" s="580"/>
      <c r="F175" s="580"/>
      <c r="J175" s="330"/>
      <c r="K175" s="331" t="s">
        <v>25</v>
      </c>
      <c r="L175" s="332" t="s">
        <v>132</v>
      </c>
      <c r="M175" s="333" t="s">
        <v>104</v>
      </c>
      <c r="N175" s="332" t="s">
        <v>26</v>
      </c>
      <c r="O175" s="330"/>
      <c r="P175" s="331" t="s">
        <v>25</v>
      </c>
      <c r="Q175" s="332" t="s">
        <v>132</v>
      </c>
      <c r="R175" s="333" t="s">
        <v>104</v>
      </c>
      <c r="S175" s="332" t="s">
        <v>26</v>
      </c>
      <c r="V175" s="341">
        <v>7</v>
      </c>
      <c r="W175" s="344">
        <v>500</v>
      </c>
      <c r="X175" s="344">
        <v>-1.9000000000000001E-4</v>
      </c>
      <c r="Y175" s="345">
        <v>2.5000000000000001E-3</v>
      </c>
      <c r="Z175" s="341">
        <v>7</v>
      </c>
      <c r="AA175" s="341">
        <v>7</v>
      </c>
      <c r="AB175" s="344">
        <v>500</v>
      </c>
      <c r="AC175" s="344">
        <v>-1.9000000000000001E-4</v>
      </c>
      <c r="AD175" s="345">
        <v>2.5000000000000001E-3</v>
      </c>
      <c r="AE175" s="341">
        <v>7</v>
      </c>
      <c r="AG175" s="341">
        <v>7</v>
      </c>
      <c r="AH175" s="346"/>
      <c r="AI175" s="347"/>
      <c r="AJ175" s="342"/>
      <c r="AK175" s="341">
        <v>7</v>
      </c>
      <c r="AL175" s="341">
        <v>7</v>
      </c>
      <c r="AM175" s="346"/>
      <c r="AN175" s="347"/>
      <c r="AO175" s="342"/>
      <c r="AP175" s="341">
        <v>7</v>
      </c>
      <c r="AR175" s="341">
        <v>7</v>
      </c>
      <c r="AS175" s="342">
        <v>500</v>
      </c>
      <c r="AT175" s="342"/>
      <c r="AU175" s="342"/>
      <c r="AV175" s="341">
        <v>7</v>
      </c>
      <c r="AW175" s="341">
        <v>7</v>
      </c>
      <c r="AX175" s="342">
        <v>500</v>
      </c>
      <c r="AY175" s="342"/>
      <c r="AZ175" s="342"/>
      <c r="BA175" s="341">
        <v>7</v>
      </c>
    </row>
    <row r="176" spans="2:53" ht="21" x14ac:dyDescent="0.25">
      <c r="B176" s="330"/>
      <c r="C176" s="331" t="s">
        <v>25</v>
      </c>
      <c r="D176" s="332" t="s">
        <v>3</v>
      </c>
      <c r="E176" s="333" t="s">
        <v>104</v>
      </c>
      <c r="F176" s="332" t="s">
        <v>26</v>
      </c>
      <c r="H176" s="128">
        <v>3</v>
      </c>
      <c r="J176" s="330"/>
      <c r="K176" s="334">
        <f>VLOOKUP(L176,K181:N187,4,FALSE)</f>
        <v>3</v>
      </c>
      <c r="L176" s="356">
        <f>VLOOKUP(L177,K181:N187,1,TRUE)</f>
        <v>1005</v>
      </c>
      <c r="M176" s="357">
        <f>VLOOKUP(L176,K181:N187,2,FALSE)</f>
        <v>0</v>
      </c>
      <c r="N176" s="357">
        <f>VLOOKUP(L176,K181:N187,3,FALSE)</f>
        <v>0.24</v>
      </c>
      <c r="O176" s="330"/>
      <c r="P176" s="334">
        <f>VLOOKUP(Q176,P181:S187,4,FALSE)</f>
        <v>3</v>
      </c>
      <c r="Q176" s="356">
        <f>VLOOKUP(Q177,P181:S187,1,TRUE)</f>
        <v>1005</v>
      </c>
      <c r="R176" s="357">
        <f>VLOOKUP(Q176,P181:S187,2,FALSE)</f>
        <v>0</v>
      </c>
      <c r="S176" s="357">
        <f>VLOOKUP(Q176,P181:S187,3,FALSE)</f>
        <v>0.24</v>
      </c>
      <c r="V176" s="341">
        <v>8</v>
      </c>
      <c r="W176" s="342"/>
      <c r="X176" s="342"/>
      <c r="Y176" s="342"/>
      <c r="Z176" s="341">
        <v>8</v>
      </c>
      <c r="AA176" s="341">
        <v>8</v>
      </c>
      <c r="AB176" s="342"/>
      <c r="AC176" s="342"/>
      <c r="AD176" s="342"/>
      <c r="AE176" s="341">
        <v>8</v>
      </c>
      <c r="AG176" s="341">
        <v>8</v>
      </c>
      <c r="AH176" s="342"/>
      <c r="AI176" s="342"/>
      <c r="AJ176" s="342"/>
      <c r="AK176" s="341">
        <v>8</v>
      </c>
      <c r="AL176" s="341">
        <v>8</v>
      </c>
      <c r="AM176" s="342"/>
      <c r="AN176" s="342"/>
      <c r="AO176" s="342"/>
      <c r="AP176" s="341">
        <v>8</v>
      </c>
      <c r="AR176" s="341">
        <v>8</v>
      </c>
      <c r="AS176" s="342">
        <v>700</v>
      </c>
      <c r="AT176" s="342"/>
      <c r="AU176" s="342"/>
      <c r="AV176" s="341">
        <v>8</v>
      </c>
      <c r="AW176" s="341">
        <v>8</v>
      </c>
      <c r="AX176" s="342">
        <v>700</v>
      </c>
      <c r="AY176" s="342"/>
      <c r="AZ176" s="342"/>
      <c r="BA176" s="341">
        <v>8</v>
      </c>
    </row>
    <row r="177" spans="2:53" x14ac:dyDescent="0.25">
      <c r="B177" s="330"/>
      <c r="C177" s="334">
        <f>VLOOKUP(D177,C183:F190,4,FALSE)</f>
        <v>2</v>
      </c>
      <c r="D177" s="335">
        <f>VLOOKUP(D178,C183:E190,1,TRUE)</f>
        <v>-1.7000000000000001E-2</v>
      </c>
      <c r="E177" s="336">
        <f>VLOOKUP(D177,C183:E190,2,FALSE)</f>
        <v>-3.0000000000000001E-3</v>
      </c>
      <c r="F177" s="336">
        <f>VLOOKUP(D177,C183:E190,3,FALSE)</f>
        <v>0.02</v>
      </c>
      <c r="J177" s="330"/>
      <c r="K177" s="335"/>
      <c r="L177" s="358">
        <f>[1]Datos!N27</f>
        <v>99970</v>
      </c>
      <c r="M177" s="359">
        <f>(M178-M176)/(L178-L176)*(L177-L176)+M176</f>
        <v>0</v>
      </c>
      <c r="N177" s="359">
        <f>(N178-N176)/(L178-L176)*(L177-L176)+N176</f>
        <v>0.24</v>
      </c>
      <c r="O177" s="330"/>
      <c r="P177" s="335"/>
      <c r="Q177" s="358">
        <f>[1]Datos!O27</f>
        <v>99950</v>
      </c>
      <c r="R177" s="359">
        <f>(R178-R176)/(Q178-Q176)*(Q177-Q176)+R176</f>
        <v>0</v>
      </c>
      <c r="S177" s="359">
        <f>(S178-S176)/(Q178-Q176)*(Q177-Q176)+S176</f>
        <v>0.24</v>
      </c>
      <c r="V177" s="341">
        <v>9</v>
      </c>
      <c r="W177" s="342"/>
      <c r="X177" s="342"/>
      <c r="Y177" s="342"/>
      <c r="Z177" s="341">
        <v>9</v>
      </c>
      <c r="AA177" s="341">
        <v>9</v>
      </c>
      <c r="AB177" s="342"/>
      <c r="AC177" s="342"/>
      <c r="AD177" s="342"/>
      <c r="AE177" s="341">
        <v>9</v>
      </c>
      <c r="AG177" s="341">
        <v>9</v>
      </c>
      <c r="AH177" s="342"/>
      <c r="AI177" s="342"/>
      <c r="AJ177" s="342"/>
      <c r="AK177" s="341">
        <v>9</v>
      </c>
      <c r="AL177" s="341">
        <v>9</v>
      </c>
      <c r="AM177" s="342"/>
      <c r="AN177" s="342"/>
      <c r="AO177" s="342"/>
      <c r="AP177" s="341">
        <v>9</v>
      </c>
      <c r="AR177" s="341">
        <v>9</v>
      </c>
      <c r="AS177" s="342">
        <v>1000</v>
      </c>
      <c r="AT177" s="342"/>
      <c r="AU177" s="342"/>
      <c r="AV177" s="341">
        <v>9</v>
      </c>
      <c r="AW177" s="341">
        <v>9</v>
      </c>
      <c r="AX177" s="342">
        <v>1000</v>
      </c>
      <c r="AY177" s="342"/>
      <c r="AZ177" s="342"/>
      <c r="BA177" s="341">
        <v>9</v>
      </c>
    </row>
    <row r="178" spans="2:53" x14ac:dyDescent="0.25">
      <c r="B178" s="330"/>
      <c r="C178" s="335"/>
      <c r="D178" s="337">
        <f>[1]Datos!F28</f>
        <v>17.673999999999999</v>
      </c>
      <c r="E178" s="338">
        <f>(E179-E177)/(D179-D177)*(D178-D177)+E177</f>
        <v>-3.7052984092811867E-3</v>
      </c>
      <c r="F178" s="338">
        <f>(F179-F177)/(D179-D177)*(D178-D177)+F177</f>
        <v>0.02</v>
      </c>
      <c r="J178" s="330"/>
      <c r="K178" s="334">
        <f>K176+1</f>
        <v>4</v>
      </c>
      <c r="L178" s="356">
        <f>VLOOKUP(K176+1,J181:M187,2,FALSE)</f>
        <v>0</v>
      </c>
      <c r="M178" s="357">
        <f>VLOOKUP(L178,K181:N187,2,FALSE)</f>
        <v>0</v>
      </c>
      <c r="N178" s="357">
        <f>VLOOKUP(L178,K181:N187,3,FALSE)</f>
        <v>0.24</v>
      </c>
      <c r="O178" s="330"/>
      <c r="P178" s="334">
        <f>P176+1</f>
        <v>4</v>
      </c>
      <c r="Q178" s="356">
        <f>VLOOKUP(P176+1,O181:R187,2,FALSE)</f>
        <v>0</v>
      </c>
      <c r="R178" s="357">
        <f>VLOOKUP(Q178,P181:S187,2,FALSE)</f>
        <v>0</v>
      </c>
      <c r="S178" s="357">
        <f>VLOOKUP(Q178,P181:S187,3,FALSE)</f>
        <v>0.24</v>
      </c>
      <c r="V178" s="341">
        <v>10</v>
      </c>
      <c r="W178" s="342"/>
      <c r="X178" s="342"/>
      <c r="Y178" s="342"/>
      <c r="Z178" s="341">
        <v>10</v>
      </c>
      <c r="AA178" s="341">
        <v>10</v>
      </c>
      <c r="AB178" s="342"/>
      <c r="AC178" s="342"/>
      <c r="AD178" s="342"/>
      <c r="AE178" s="341">
        <v>10</v>
      </c>
      <c r="AG178" s="341">
        <v>10</v>
      </c>
      <c r="AH178" s="342"/>
      <c r="AI178" s="342"/>
      <c r="AJ178" s="342"/>
      <c r="AK178" s="341">
        <v>10</v>
      </c>
      <c r="AL178" s="341">
        <v>10</v>
      </c>
      <c r="AM178" s="342"/>
      <c r="AN178" s="342"/>
      <c r="AO178" s="342"/>
      <c r="AP178" s="341">
        <v>10</v>
      </c>
      <c r="AR178" s="341">
        <v>10</v>
      </c>
      <c r="AS178" s="342">
        <v>1500</v>
      </c>
      <c r="AT178" s="342"/>
      <c r="AU178" s="342"/>
      <c r="AV178" s="341">
        <v>10</v>
      </c>
      <c r="AW178" s="341">
        <v>10</v>
      </c>
      <c r="AX178" s="342">
        <v>1500</v>
      </c>
      <c r="AY178" s="342"/>
      <c r="AZ178" s="342"/>
      <c r="BA178" s="341">
        <v>10</v>
      </c>
    </row>
    <row r="179" spans="2:53" x14ac:dyDescent="0.25">
      <c r="B179" s="330"/>
      <c r="C179" s="334">
        <f>C177+1</f>
        <v>3</v>
      </c>
      <c r="D179" s="335">
        <f>VLOOKUP(C177+1,B183:E190,2,FALSE)</f>
        <v>25.065999999999999</v>
      </c>
      <c r="E179" s="336">
        <f>VLOOKUP(D179,C183:E190,2,FALSE)</f>
        <v>-4.0000000000000001E-3</v>
      </c>
      <c r="F179" s="336">
        <f>VLOOKUP(D179,C183:E190,3,FALSE)</f>
        <v>0.02</v>
      </c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</row>
    <row r="180" spans="2:53" x14ac:dyDescent="0.25">
      <c r="B180" s="330"/>
      <c r="C180" s="330"/>
      <c r="D180" s="330"/>
      <c r="E180" s="330"/>
      <c r="F180" s="330"/>
      <c r="J180" s="340"/>
      <c r="K180" s="333" t="s">
        <v>29</v>
      </c>
      <c r="L180" s="333" t="s">
        <v>229</v>
      </c>
      <c r="M180" s="333" t="s">
        <v>14</v>
      </c>
      <c r="N180" s="340"/>
      <c r="O180" s="340"/>
      <c r="P180" s="333" t="s">
        <v>29</v>
      </c>
      <c r="Q180" s="333" t="s">
        <v>229</v>
      </c>
      <c r="R180" s="333" t="s">
        <v>14</v>
      </c>
      <c r="S180" s="340"/>
    </row>
    <row r="181" spans="2:53" ht="15.6" x14ac:dyDescent="0.3">
      <c r="B181" s="330"/>
      <c r="C181" s="580" t="s">
        <v>103</v>
      </c>
      <c r="D181" s="580"/>
      <c r="E181" s="580"/>
      <c r="F181" s="339"/>
      <c r="J181" s="341">
        <v>1</v>
      </c>
      <c r="K181" s="360">
        <v>0</v>
      </c>
      <c r="L181" s="355">
        <v>0</v>
      </c>
      <c r="M181" s="355">
        <v>0.24</v>
      </c>
      <c r="N181" s="341">
        <v>1</v>
      </c>
      <c r="O181" s="341">
        <v>1</v>
      </c>
      <c r="P181" s="360">
        <v>0</v>
      </c>
      <c r="Q181" s="355">
        <v>0</v>
      </c>
      <c r="R181" s="355">
        <v>0.24</v>
      </c>
      <c r="S181" s="341">
        <v>1</v>
      </c>
      <c r="V181" s="330"/>
      <c r="W181" s="580" t="s">
        <v>92</v>
      </c>
      <c r="X181" s="580"/>
      <c r="Y181" s="580"/>
      <c r="Z181" s="580"/>
      <c r="AA181" s="330"/>
      <c r="AB181" s="580" t="s">
        <v>136</v>
      </c>
      <c r="AC181" s="580"/>
      <c r="AD181" s="580"/>
      <c r="AE181" s="580"/>
      <c r="AG181" s="330"/>
      <c r="AH181" s="580" t="s">
        <v>92</v>
      </c>
      <c r="AI181" s="580"/>
      <c r="AJ181" s="580"/>
      <c r="AK181" s="580"/>
      <c r="AL181" s="330"/>
      <c r="AM181" s="580" t="s">
        <v>136</v>
      </c>
      <c r="AN181" s="580"/>
      <c r="AO181" s="580"/>
      <c r="AP181" s="580"/>
      <c r="AR181" s="330"/>
      <c r="AS181" s="580" t="s">
        <v>92</v>
      </c>
      <c r="AT181" s="580"/>
      <c r="AU181" s="580"/>
      <c r="AV181" s="580"/>
      <c r="AW181" s="330"/>
      <c r="AX181" s="580" t="s">
        <v>136</v>
      </c>
      <c r="AY181" s="580"/>
      <c r="AZ181" s="580"/>
      <c r="BA181" s="580"/>
    </row>
    <row r="182" spans="2:53" ht="39.6" x14ac:dyDescent="0.25">
      <c r="B182" s="340"/>
      <c r="C182" s="333" t="s">
        <v>3</v>
      </c>
      <c r="D182" s="333" t="s">
        <v>229</v>
      </c>
      <c r="E182" s="333" t="s">
        <v>14</v>
      </c>
      <c r="F182" s="340"/>
      <c r="J182" s="341">
        <v>2</v>
      </c>
      <c r="K182" s="360">
        <v>905.42</v>
      </c>
      <c r="L182" s="355">
        <v>-1.9</v>
      </c>
      <c r="M182" s="355">
        <v>0.24</v>
      </c>
      <c r="N182" s="341">
        <v>2</v>
      </c>
      <c r="O182" s="341">
        <v>2</v>
      </c>
      <c r="P182" s="360">
        <v>905.42</v>
      </c>
      <c r="Q182" s="355">
        <v>-1.9</v>
      </c>
      <c r="R182" s="355">
        <v>0.24</v>
      </c>
      <c r="S182" s="341">
        <v>2</v>
      </c>
      <c r="V182" s="330"/>
      <c r="W182" s="331" t="s">
        <v>25</v>
      </c>
      <c r="X182" s="333" t="s">
        <v>137</v>
      </c>
      <c r="Y182" s="333" t="s">
        <v>104</v>
      </c>
      <c r="Z182" s="332" t="s">
        <v>26</v>
      </c>
      <c r="AA182" s="330"/>
      <c r="AB182" s="331" t="s">
        <v>25</v>
      </c>
      <c r="AC182" s="333" t="s">
        <v>138</v>
      </c>
      <c r="AD182" s="333" t="s">
        <v>104</v>
      </c>
      <c r="AE182" s="332" t="s">
        <v>26</v>
      </c>
      <c r="AG182" s="330"/>
      <c r="AH182" s="331" t="s">
        <v>25</v>
      </c>
      <c r="AI182" s="333" t="s">
        <v>137</v>
      </c>
      <c r="AJ182" s="333" t="s">
        <v>229</v>
      </c>
      <c r="AK182" s="332" t="s">
        <v>26</v>
      </c>
      <c r="AL182" s="330"/>
      <c r="AM182" s="331" t="s">
        <v>25</v>
      </c>
      <c r="AN182" s="333" t="s">
        <v>137</v>
      </c>
      <c r="AO182" s="333" t="s">
        <v>229</v>
      </c>
      <c r="AP182" s="332" t="s">
        <v>26</v>
      </c>
      <c r="AR182" s="330"/>
      <c r="AS182" s="331" t="s">
        <v>25</v>
      </c>
      <c r="AT182" s="333" t="s">
        <v>137</v>
      </c>
      <c r="AU182" s="333" t="s">
        <v>229</v>
      </c>
      <c r="AV182" s="332" t="s">
        <v>26</v>
      </c>
      <c r="AW182" s="330"/>
      <c r="AX182" s="331" t="s">
        <v>25</v>
      </c>
      <c r="AY182" s="333" t="s">
        <v>138</v>
      </c>
      <c r="AZ182" s="333" t="s">
        <v>104</v>
      </c>
      <c r="BA182" s="332" t="s">
        <v>26</v>
      </c>
    </row>
    <row r="183" spans="2:53" x14ac:dyDescent="0.25">
      <c r="B183" s="341">
        <v>1</v>
      </c>
      <c r="C183" s="342">
        <v>-30.047999999999998</v>
      </c>
      <c r="D183" s="342">
        <v>-2.1000000000000001E-2</v>
      </c>
      <c r="E183" s="342">
        <v>2.3E-2</v>
      </c>
      <c r="F183" s="341">
        <v>1</v>
      </c>
      <c r="J183" s="341">
        <v>3</v>
      </c>
      <c r="K183" s="360">
        <v>1005</v>
      </c>
      <c r="L183" s="355">
        <v>0</v>
      </c>
      <c r="M183" s="355">
        <v>0.24</v>
      </c>
      <c r="N183" s="341">
        <v>3</v>
      </c>
      <c r="O183" s="341">
        <v>3</v>
      </c>
      <c r="P183" s="360">
        <v>1005</v>
      </c>
      <c r="Q183" s="355">
        <v>0</v>
      </c>
      <c r="R183" s="355">
        <v>0.24</v>
      </c>
      <c r="S183" s="341">
        <v>3</v>
      </c>
      <c r="V183" s="330"/>
      <c r="W183" s="334">
        <f>VLOOKUP(X183,W189:Z198,4,FALSE)</f>
        <v>2</v>
      </c>
      <c r="X183" s="335">
        <f>VLOOKUP(X184,W189:Y198,1,TRUE)</f>
        <v>1</v>
      </c>
      <c r="Y183" s="336">
        <f>VLOOKUP(X183,W189:Y198,2,FALSE)</f>
        <v>6.9999999999999994E-5</v>
      </c>
      <c r="Z183" s="336">
        <f>VLOOKUP(X183,W189:Y198,3,FALSE)</f>
        <v>2.5000000000000001E-3</v>
      </c>
      <c r="AA183" s="330"/>
      <c r="AB183" s="334">
        <f>VLOOKUP(AC183,AB189:AE198,4,FALSE)</f>
        <v>2</v>
      </c>
      <c r="AC183" s="335">
        <f>VLOOKUP(AC184,AB189:AE198,1,TRUE)</f>
        <v>1</v>
      </c>
      <c r="AD183" s="336">
        <f>VLOOKUP(AC183,AB189:AE195,2,FALSE)</f>
        <v>6.9999999999999994E-5</v>
      </c>
      <c r="AE183" s="336">
        <f>VLOOKUP(AC183,AB189:AE198,3,FALSE)</f>
        <v>2.5000000000000001E-3</v>
      </c>
      <c r="AG183" s="330"/>
      <c r="AH183" s="334">
        <f>VLOOKUP(AI183,AH189:AK198,4,FALSE)</f>
        <v>2</v>
      </c>
      <c r="AI183" s="335">
        <f>VLOOKUP(AI184,AH189:AJ198,1,TRUE)</f>
        <v>10</v>
      </c>
      <c r="AJ183" s="336">
        <f>VLOOKUP(AI183,AH189:AJ198,2,FALSE)</f>
        <v>0</v>
      </c>
      <c r="AK183" s="336">
        <f>VLOOKUP(AI183,AH189:AJ198,3,FALSE)</f>
        <v>0.2</v>
      </c>
      <c r="AL183" s="330"/>
      <c r="AM183" s="334">
        <f>VLOOKUP(AN183,AM189:AP198,4,FALSE)</f>
        <v>2</v>
      </c>
      <c r="AN183" s="335">
        <f>VLOOKUP(AN184,AM189:AP198,1,TRUE)</f>
        <v>10</v>
      </c>
      <c r="AO183" s="336">
        <f>VLOOKUP(AN183,AM189:AP195,2,FALSE)</f>
        <v>0</v>
      </c>
      <c r="AP183" s="336">
        <f>VLOOKUP(AN183,AM189:AP198,3,FALSE)</f>
        <v>0.2</v>
      </c>
      <c r="AR183" s="330"/>
      <c r="AS183" s="334">
        <f>VLOOKUP(AT183,AS189:AV198,4,FALSE)</f>
        <v>3</v>
      </c>
      <c r="AT183" s="335">
        <f>VLOOKUP(AT184,AS189:AU198,1,TRUE)</f>
        <v>20</v>
      </c>
      <c r="AU183" s="336">
        <f>VLOOKUP(AT183,AS189:AU198,2,FALSE)</f>
        <v>0</v>
      </c>
      <c r="AV183" s="336">
        <f>VLOOKUP(AT183,AS189:AU198,3,FALSE)</f>
        <v>0</v>
      </c>
      <c r="AW183" s="330"/>
      <c r="AX183" s="334">
        <f>VLOOKUP(AY183,AX189:BA198,4,FALSE)</f>
        <v>2</v>
      </c>
      <c r="AY183" s="335">
        <f>VLOOKUP(AY184,AX189:BA198,1,TRUE)</f>
        <v>10</v>
      </c>
      <c r="AZ183" s="336">
        <f>VLOOKUP(AY183,AX189:BA195,2,FALSE)</f>
        <v>0</v>
      </c>
      <c r="BA183" s="336">
        <f>VLOOKUP(AY183,AX189:BA198,3,FALSE)</f>
        <v>0</v>
      </c>
    </row>
    <row r="184" spans="2:53" x14ac:dyDescent="0.25">
      <c r="B184" s="341">
        <v>2</v>
      </c>
      <c r="C184" s="342">
        <v>-1.7000000000000001E-2</v>
      </c>
      <c r="D184" s="342">
        <v>-3.0000000000000001E-3</v>
      </c>
      <c r="E184" s="342">
        <v>0.02</v>
      </c>
      <c r="F184" s="341">
        <v>2</v>
      </c>
      <c r="J184" s="341">
        <v>4</v>
      </c>
      <c r="K184" s="360"/>
      <c r="L184" s="355"/>
      <c r="M184" s="355"/>
      <c r="N184" s="341">
        <v>4</v>
      </c>
      <c r="O184" s="341">
        <v>4</v>
      </c>
      <c r="P184" s="360"/>
      <c r="Q184" s="355"/>
      <c r="R184" s="355"/>
      <c r="S184" s="341">
        <v>4</v>
      </c>
      <c r="V184" s="330"/>
      <c r="W184" s="335"/>
      <c r="X184" s="337">
        <f>[1]Datos!D28</f>
        <v>26.667899999999999</v>
      </c>
      <c r="Y184" s="338">
        <f>(Y185-Y183)/(X185-X183)*(X184-X183)+Y183</f>
        <v>1.0889075757575757E-4</v>
      </c>
      <c r="Z184" s="338">
        <f>(Z185-Z183)/(X185-X183)*(X184-X183)+Z183</f>
        <v>2.5000000000000001E-3</v>
      </c>
      <c r="AA184" s="330"/>
      <c r="AB184" s="335"/>
      <c r="AC184" s="337">
        <f>[1]Datos!E28</f>
        <v>16.693200000000001</v>
      </c>
      <c r="AD184" s="338">
        <f>(AD185-AD183)/(AC185-AC183)*(AC184-AC183)+AD183</f>
        <v>9.3777575757575751E-5</v>
      </c>
      <c r="AE184" s="338">
        <f>(AE185-AE183)/(AC185-AC183)*(AC184-AC183)+AE183</f>
        <v>2.5000000000000001E-3</v>
      </c>
      <c r="AG184" s="330"/>
      <c r="AH184" s="335"/>
      <c r="AI184" s="337">
        <f>X184</f>
        <v>26.667899999999999</v>
      </c>
      <c r="AJ184" s="338">
        <f>(AJ185-AJ183)/(AI185-AI183)*(AI184-AI183)+AJ183</f>
        <v>0</v>
      </c>
      <c r="AK184" s="338">
        <f>(AK185-AK183)/(AI185-AI183)*(AI184-AI183)+AK183</f>
        <v>0.2</v>
      </c>
      <c r="AL184" s="330"/>
      <c r="AM184" s="335"/>
      <c r="AN184" s="337">
        <f>AC184</f>
        <v>16.693200000000001</v>
      </c>
      <c r="AO184" s="338">
        <f>(AO185-AO183)/(AN185-AN183)*(AN184-AN183)+AO183</f>
        <v>0</v>
      </c>
      <c r="AP184" s="338">
        <f>(AP185-AP183)/(AN185-AN183)*(AN184-AN183)+AP183</f>
        <v>0.2</v>
      </c>
      <c r="AR184" s="330"/>
      <c r="AS184" s="335"/>
      <c r="AT184" s="337">
        <f>AI184</f>
        <v>26.667899999999999</v>
      </c>
      <c r="AU184" s="338">
        <f>(AU185-AU183)/(AT185-AT183)*(AT184-AT183)+AU183</f>
        <v>0</v>
      </c>
      <c r="AV184" s="338">
        <f>(AV185-AV183)/(AT185-AT183)*(AT184-AT183)+AV183</f>
        <v>0</v>
      </c>
      <c r="AW184" s="330"/>
      <c r="AX184" s="335"/>
      <c r="AY184" s="337">
        <f>AN184</f>
        <v>16.693200000000001</v>
      </c>
      <c r="AZ184" s="338">
        <f>(AZ185-AZ183)/(AY185-AY183)*(AY184-AY183)+AZ183</f>
        <v>0</v>
      </c>
      <c r="BA184" s="338">
        <f>(BA185-BA183)/(AY185-AY183)*(AY184-AY183)+BA183</f>
        <v>0</v>
      </c>
    </row>
    <row r="185" spans="2:53" x14ac:dyDescent="0.25">
      <c r="B185" s="341">
        <v>3</v>
      </c>
      <c r="C185" s="342">
        <v>25.065999999999999</v>
      </c>
      <c r="D185" s="342">
        <v>-4.0000000000000001E-3</v>
      </c>
      <c r="E185" s="342">
        <v>0.02</v>
      </c>
      <c r="F185" s="341">
        <v>3</v>
      </c>
      <c r="J185" s="341">
        <v>5</v>
      </c>
      <c r="K185" s="360"/>
      <c r="L185" s="355"/>
      <c r="M185" s="355"/>
      <c r="N185" s="341">
        <v>5</v>
      </c>
      <c r="O185" s="341">
        <v>5</v>
      </c>
      <c r="P185" s="360"/>
      <c r="Q185" s="355"/>
      <c r="R185" s="355"/>
      <c r="S185" s="341">
        <v>5</v>
      </c>
      <c r="V185" s="330"/>
      <c r="W185" s="334">
        <f>W183+1</f>
        <v>3</v>
      </c>
      <c r="X185" s="335">
        <f>VLOOKUP(W183+1,V189:Y198,2,FALSE)</f>
        <v>100</v>
      </c>
      <c r="Y185" s="336">
        <f>VLOOKUP(X185,W189:Y198,2,FALSE)</f>
        <v>2.2000000000000001E-4</v>
      </c>
      <c r="Z185" s="336">
        <f>VLOOKUP(X185,W189:Y198,3,FALSE)</f>
        <v>2.5000000000000001E-3</v>
      </c>
      <c r="AA185" s="330"/>
      <c r="AB185" s="334">
        <f>AB183+1</f>
        <v>3</v>
      </c>
      <c r="AC185" s="335">
        <f>VLOOKUP(AB183+1,AA189:AE198,2,FALSE)</f>
        <v>100</v>
      </c>
      <c r="AD185" s="336">
        <f>VLOOKUP(AC185,AB189:AE198,2,FALSE)</f>
        <v>2.2000000000000001E-4</v>
      </c>
      <c r="AE185" s="336">
        <f>VLOOKUP(AC185,AB189:AE198,3,FALSE)</f>
        <v>2.5000000000000001E-3</v>
      </c>
      <c r="AG185" s="330"/>
      <c r="AH185" s="334">
        <f>AH183+1</f>
        <v>3</v>
      </c>
      <c r="AI185" s="335">
        <f>VLOOKUP(AH183+1,AG189:AJ198,2,FALSE)</f>
        <v>5000</v>
      </c>
      <c r="AJ185" s="336">
        <f>VLOOKUP(AI185,AH189:AJ198,2,FALSE)</f>
        <v>0</v>
      </c>
      <c r="AK185" s="336">
        <f>VLOOKUP(AI185,AH189:AJ198,3,FALSE)</f>
        <v>0.2</v>
      </c>
      <c r="AL185" s="330"/>
      <c r="AM185" s="334">
        <f>AM183+1</f>
        <v>3</v>
      </c>
      <c r="AN185" s="335">
        <f>VLOOKUP(AM183+1,AL189:AP198,2,FALSE)</f>
        <v>5000</v>
      </c>
      <c r="AO185" s="336">
        <f>VLOOKUP(AN185,AM189:AP198,2,FALSE)</f>
        <v>0</v>
      </c>
      <c r="AP185" s="336">
        <f>VLOOKUP(AN185,AM189:AP198,3,FALSE)</f>
        <v>0.2</v>
      </c>
      <c r="AR185" s="330"/>
      <c r="AS185" s="334">
        <f>AS183+1</f>
        <v>4</v>
      </c>
      <c r="AT185" s="335">
        <f>VLOOKUP(AS183+1,AR189:AU198,2,FALSE)</f>
        <v>50</v>
      </c>
      <c r="AU185" s="336">
        <f>VLOOKUP(AT185,AS189:AU198,2,FALSE)</f>
        <v>0</v>
      </c>
      <c r="AV185" s="336">
        <f>VLOOKUP(AT185,AS189:AU198,3,FALSE)</f>
        <v>0</v>
      </c>
      <c r="AW185" s="330"/>
      <c r="AX185" s="334">
        <f>AX183+1</f>
        <v>3</v>
      </c>
      <c r="AY185" s="335">
        <f>VLOOKUP(AX183+1,AW189:BA198,2,FALSE)</f>
        <v>20</v>
      </c>
      <c r="AZ185" s="336">
        <f>VLOOKUP(AY185,AX189:BA198,2,FALSE)</f>
        <v>0</v>
      </c>
      <c r="BA185" s="336">
        <f>VLOOKUP(AY185,AX189:BA198,3,FALSE)</f>
        <v>0</v>
      </c>
    </row>
    <row r="186" spans="2:53" x14ac:dyDescent="0.25">
      <c r="B186" s="341">
        <v>4</v>
      </c>
      <c r="C186" s="342">
        <v>50.000999999999998</v>
      </c>
      <c r="D186" s="342">
        <v>-0.01</v>
      </c>
      <c r="E186" s="342">
        <v>0.02</v>
      </c>
      <c r="F186" s="341">
        <v>4</v>
      </c>
      <c r="J186" s="341">
        <v>6</v>
      </c>
      <c r="K186" s="360"/>
      <c r="L186" s="355"/>
      <c r="M186" s="355"/>
      <c r="N186" s="341">
        <v>6</v>
      </c>
      <c r="O186" s="341">
        <v>6</v>
      </c>
      <c r="P186" s="360"/>
      <c r="Q186" s="355"/>
      <c r="R186" s="355"/>
      <c r="S186" s="341">
        <v>6</v>
      </c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G186" s="330"/>
      <c r="AH186" s="330"/>
      <c r="AI186" s="330"/>
      <c r="AJ186" s="330"/>
      <c r="AK186" s="330"/>
      <c r="AL186" s="330"/>
      <c r="AM186" s="330"/>
      <c r="AN186" s="330"/>
      <c r="AO186" s="330"/>
      <c r="AP186" s="330"/>
      <c r="AR186" s="330"/>
      <c r="AS186" s="330"/>
      <c r="AT186" s="330"/>
      <c r="AU186" s="330"/>
      <c r="AV186" s="330"/>
      <c r="AW186" s="330"/>
      <c r="AX186" s="330"/>
      <c r="AY186" s="330"/>
      <c r="AZ186" s="330"/>
      <c r="BA186" s="330"/>
    </row>
    <row r="187" spans="2:53" ht="26.4" x14ac:dyDescent="0.3">
      <c r="B187" s="341">
        <v>5</v>
      </c>
      <c r="C187" s="342">
        <v>99.995000000000005</v>
      </c>
      <c r="D187" s="342">
        <v>-4.0000000000000001E-3</v>
      </c>
      <c r="E187" s="342">
        <v>0.02</v>
      </c>
      <c r="F187" s="341">
        <v>5</v>
      </c>
      <c r="J187" s="341">
        <v>7</v>
      </c>
      <c r="K187" s="360"/>
      <c r="L187" s="355"/>
      <c r="M187" s="355"/>
      <c r="N187" s="341">
        <v>7</v>
      </c>
      <c r="O187" s="341">
        <v>7</v>
      </c>
      <c r="P187" s="360"/>
      <c r="Q187" s="355"/>
      <c r="R187" s="355"/>
      <c r="S187" s="341">
        <v>7</v>
      </c>
      <c r="V187" s="330"/>
      <c r="W187" s="333" t="s">
        <v>139</v>
      </c>
      <c r="X187" s="333" t="s">
        <v>229</v>
      </c>
      <c r="Y187" s="333" t="s">
        <v>14</v>
      </c>
      <c r="Z187" s="339"/>
      <c r="AA187" s="339"/>
      <c r="AB187" s="333" t="s">
        <v>139</v>
      </c>
      <c r="AC187" s="333" t="s">
        <v>229</v>
      </c>
      <c r="AD187" s="333" t="s">
        <v>14</v>
      </c>
      <c r="AE187" s="339"/>
      <c r="AG187" s="330"/>
      <c r="AH187" s="333" t="s">
        <v>139</v>
      </c>
      <c r="AI187" s="333" t="s">
        <v>228</v>
      </c>
      <c r="AJ187" s="333" t="s">
        <v>14</v>
      </c>
      <c r="AK187" s="339"/>
      <c r="AL187" s="339"/>
      <c r="AM187" s="333" t="s">
        <v>139</v>
      </c>
      <c r="AN187" s="333" t="s">
        <v>228</v>
      </c>
      <c r="AO187" s="333" t="s">
        <v>14</v>
      </c>
      <c r="AP187" s="339"/>
      <c r="AR187" s="330"/>
      <c r="AS187" s="333" t="s">
        <v>139</v>
      </c>
      <c r="AT187" s="333" t="s">
        <v>228</v>
      </c>
      <c r="AU187" s="333" t="s">
        <v>14</v>
      </c>
      <c r="AV187" s="339"/>
      <c r="AW187" s="339"/>
      <c r="AX187" s="333" t="s">
        <v>139</v>
      </c>
      <c r="AY187" s="333" t="s">
        <v>228</v>
      </c>
      <c r="AZ187" s="333" t="s">
        <v>14</v>
      </c>
      <c r="BA187" s="339"/>
    </row>
    <row r="188" spans="2:53" x14ac:dyDescent="0.25">
      <c r="B188" s="341">
        <v>6</v>
      </c>
      <c r="C188" s="342">
        <v>150.16800000000001</v>
      </c>
      <c r="D188" s="342">
        <v>0</v>
      </c>
      <c r="E188" s="342">
        <v>2.5999999999999999E-2</v>
      </c>
      <c r="F188" s="341">
        <v>6</v>
      </c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V188" s="340"/>
      <c r="W188" s="333" t="s">
        <v>91</v>
      </c>
      <c r="X188" s="333" t="s">
        <v>91</v>
      </c>
      <c r="Y188" s="333" t="s">
        <v>91</v>
      </c>
      <c r="Z188" s="340"/>
      <c r="AA188" s="340"/>
      <c r="AB188" s="333" t="s">
        <v>91</v>
      </c>
      <c r="AC188" s="333" t="s">
        <v>91</v>
      </c>
      <c r="AD188" s="333" t="s">
        <v>91</v>
      </c>
      <c r="AE188" s="340"/>
      <c r="AG188" s="340"/>
      <c r="AH188" s="333" t="s">
        <v>91</v>
      </c>
      <c r="AI188" s="333" t="s">
        <v>91</v>
      </c>
      <c r="AJ188" s="333" t="s">
        <v>91</v>
      </c>
      <c r="AK188" s="340"/>
      <c r="AL188" s="340"/>
      <c r="AM188" s="333" t="s">
        <v>91</v>
      </c>
      <c r="AN188" s="333" t="s">
        <v>91</v>
      </c>
      <c r="AO188" s="333" t="s">
        <v>91</v>
      </c>
      <c r="AP188" s="340"/>
      <c r="AR188" s="340"/>
      <c r="AS188" s="333" t="s">
        <v>91</v>
      </c>
      <c r="AT188" s="333" t="s">
        <v>91</v>
      </c>
      <c r="AU188" s="333" t="s">
        <v>91</v>
      </c>
      <c r="AV188" s="340"/>
      <c r="AW188" s="340"/>
      <c r="AX188" s="333" t="s">
        <v>91</v>
      </c>
      <c r="AY188" s="333" t="s">
        <v>91</v>
      </c>
      <c r="AZ188" s="333" t="s">
        <v>91</v>
      </c>
      <c r="BA188" s="340"/>
    </row>
    <row r="189" spans="2:53" x14ac:dyDescent="0.25">
      <c r="B189" s="341">
        <v>7</v>
      </c>
      <c r="C189" s="342">
        <v>200.14400000000001</v>
      </c>
      <c r="D189" s="342">
        <v>-5.0000000000000001E-3</v>
      </c>
      <c r="E189" s="342">
        <v>2.5999999999999999E-2</v>
      </c>
      <c r="F189" s="341">
        <v>7</v>
      </c>
      <c r="V189" s="341">
        <v>1</v>
      </c>
      <c r="W189" s="344">
        <v>0</v>
      </c>
      <c r="X189" s="344">
        <v>0</v>
      </c>
      <c r="Y189" s="345">
        <v>1.6000000000000001E-4</v>
      </c>
      <c r="Z189" s="341">
        <v>1</v>
      </c>
      <c r="AA189" s="341">
        <v>1</v>
      </c>
      <c r="AB189" s="344">
        <v>0</v>
      </c>
      <c r="AC189" s="344">
        <v>0</v>
      </c>
      <c r="AD189" s="345">
        <v>1.6000000000000001E-4</v>
      </c>
      <c r="AE189" s="341">
        <v>1</v>
      </c>
      <c r="AG189" s="341">
        <v>1</v>
      </c>
      <c r="AH189" s="346">
        <v>0</v>
      </c>
      <c r="AI189" s="347">
        <v>0</v>
      </c>
      <c r="AJ189" s="342">
        <v>0.05</v>
      </c>
      <c r="AK189" s="341">
        <v>1</v>
      </c>
      <c r="AL189" s="341">
        <v>1</v>
      </c>
      <c r="AM189" s="346">
        <v>0</v>
      </c>
      <c r="AN189" s="347">
        <v>0</v>
      </c>
      <c r="AO189" s="342">
        <v>0.05</v>
      </c>
      <c r="AP189" s="341">
        <v>1</v>
      </c>
      <c r="AR189" s="341">
        <v>1</v>
      </c>
      <c r="AS189" s="342">
        <v>0</v>
      </c>
      <c r="AT189" s="342"/>
      <c r="AU189" s="342"/>
      <c r="AV189" s="341">
        <v>1</v>
      </c>
      <c r="AW189" s="341">
        <v>1</v>
      </c>
      <c r="AX189" s="342">
        <v>0</v>
      </c>
      <c r="AY189" s="342"/>
      <c r="AZ189" s="342"/>
      <c r="BA189" s="341">
        <v>1</v>
      </c>
    </row>
    <row r="190" spans="2:53" x14ac:dyDescent="0.25">
      <c r="B190" s="341">
        <v>8</v>
      </c>
      <c r="C190" s="342">
        <v>250.02799999999999</v>
      </c>
      <c r="D190" s="342">
        <v>-1.6E-2</v>
      </c>
      <c r="E190" s="342">
        <v>2.5999999999999999E-2</v>
      </c>
      <c r="F190" s="341">
        <v>8</v>
      </c>
      <c r="V190" s="341">
        <v>2</v>
      </c>
      <c r="W190" s="344">
        <v>1</v>
      </c>
      <c r="X190" s="344">
        <v>6.9999999999999994E-5</v>
      </c>
      <c r="Y190" s="345">
        <v>2.5000000000000001E-3</v>
      </c>
      <c r="Z190" s="341">
        <v>2</v>
      </c>
      <c r="AA190" s="341">
        <v>2</v>
      </c>
      <c r="AB190" s="344">
        <v>1</v>
      </c>
      <c r="AC190" s="344">
        <v>6.9999999999999994E-5</v>
      </c>
      <c r="AD190" s="345">
        <v>2.5000000000000001E-3</v>
      </c>
      <c r="AE190" s="341">
        <v>2</v>
      </c>
      <c r="AG190" s="341">
        <v>2</v>
      </c>
      <c r="AH190" s="346">
        <v>10</v>
      </c>
      <c r="AI190" s="347">
        <v>0</v>
      </c>
      <c r="AJ190" s="342">
        <v>0.2</v>
      </c>
      <c r="AK190" s="341">
        <v>2</v>
      </c>
      <c r="AL190" s="341">
        <v>2</v>
      </c>
      <c r="AM190" s="346">
        <v>10</v>
      </c>
      <c r="AN190" s="347">
        <v>0</v>
      </c>
      <c r="AO190" s="342">
        <v>0.2</v>
      </c>
      <c r="AP190" s="341">
        <v>2</v>
      </c>
      <c r="AR190" s="341">
        <v>2</v>
      </c>
      <c r="AS190" s="342">
        <v>10</v>
      </c>
      <c r="AT190" s="342"/>
      <c r="AU190" s="342"/>
      <c r="AV190" s="341">
        <v>2</v>
      </c>
      <c r="AW190" s="341">
        <v>2</v>
      </c>
      <c r="AX190" s="342">
        <v>10</v>
      </c>
      <c r="AY190" s="342"/>
      <c r="AZ190" s="342"/>
      <c r="BA190" s="341">
        <v>2</v>
      </c>
    </row>
    <row r="191" spans="2:53" x14ac:dyDescent="0.25">
      <c r="V191" s="341">
        <v>3</v>
      </c>
      <c r="W191" s="344">
        <v>100</v>
      </c>
      <c r="X191" s="344">
        <v>2.2000000000000001E-4</v>
      </c>
      <c r="Y191" s="345">
        <v>2.5000000000000001E-3</v>
      </c>
      <c r="Z191" s="341">
        <v>3</v>
      </c>
      <c r="AA191" s="341">
        <v>3</v>
      </c>
      <c r="AB191" s="344">
        <v>100</v>
      </c>
      <c r="AC191" s="344">
        <v>2.2000000000000001E-4</v>
      </c>
      <c r="AD191" s="345">
        <v>2.5000000000000001E-3</v>
      </c>
      <c r="AE191" s="341">
        <v>3</v>
      </c>
      <c r="AG191" s="341">
        <v>3</v>
      </c>
      <c r="AH191" s="346">
        <v>5000</v>
      </c>
      <c r="AI191" s="347">
        <v>0</v>
      </c>
      <c r="AJ191" s="342">
        <v>0.2</v>
      </c>
      <c r="AK191" s="341">
        <v>3</v>
      </c>
      <c r="AL191" s="341">
        <v>3</v>
      </c>
      <c r="AM191" s="346">
        <v>5000</v>
      </c>
      <c r="AN191" s="347">
        <v>0</v>
      </c>
      <c r="AO191" s="342">
        <v>0.2</v>
      </c>
      <c r="AP191" s="341">
        <v>3</v>
      </c>
      <c r="AR191" s="341">
        <v>3</v>
      </c>
      <c r="AS191" s="342">
        <v>20</v>
      </c>
      <c r="AT191" s="342"/>
      <c r="AU191" s="342"/>
      <c r="AV191" s="341">
        <v>3</v>
      </c>
      <c r="AW191" s="341">
        <v>3</v>
      </c>
      <c r="AX191" s="342">
        <v>20</v>
      </c>
      <c r="AY191" s="342"/>
      <c r="AZ191" s="342"/>
      <c r="BA191" s="341">
        <v>3</v>
      </c>
    </row>
    <row r="192" spans="2:53" ht="15.6" x14ac:dyDescent="0.3">
      <c r="B192" s="330"/>
      <c r="C192" s="580" t="s">
        <v>103</v>
      </c>
      <c r="D192" s="580"/>
      <c r="E192" s="580"/>
      <c r="F192" s="580"/>
      <c r="V192" s="341">
        <v>4</v>
      </c>
      <c r="W192" s="344">
        <v>200</v>
      </c>
      <c r="X192" s="344">
        <v>1.7000000000000001E-4</v>
      </c>
      <c r="Y192" s="345">
        <v>2.5000000000000001E-3</v>
      </c>
      <c r="Z192" s="341">
        <v>4</v>
      </c>
      <c r="AA192" s="341">
        <v>4</v>
      </c>
      <c r="AB192" s="344">
        <v>200</v>
      </c>
      <c r="AC192" s="344">
        <v>1.7000000000000001E-4</v>
      </c>
      <c r="AD192" s="345">
        <v>2.5000000000000001E-3</v>
      </c>
      <c r="AE192" s="341">
        <v>4</v>
      </c>
      <c r="AG192" s="341">
        <v>4</v>
      </c>
      <c r="AH192" s="346">
        <v>10000</v>
      </c>
      <c r="AI192" s="347">
        <v>0</v>
      </c>
      <c r="AJ192" s="342">
        <v>0.2</v>
      </c>
      <c r="AK192" s="341">
        <v>4</v>
      </c>
      <c r="AL192" s="341">
        <v>4</v>
      </c>
      <c r="AM192" s="346">
        <v>10000</v>
      </c>
      <c r="AN192" s="347">
        <v>0</v>
      </c>
      <c r="AO192" s="342">
        <v>0.2</v>
      </c>
      <c r="AP192" s="341">
        <v>4</v>
      </c>
      <c r="AR192" s="341">
        <v>4</v>
      </c>
      <c r="AS192" s="342">
        <v>50</v>
      </c>
      <c r="AT192" s="342"/>
      <c r="AU192" s="342"/>
      <c r="AV192" s="341">
        <v>4</v>
      </c>
      <c r="AW192" s="341">
        <v>4</v>
      </c>
      <c r="AX192" s="342">
        <v>50</v>
      </c>
      <c r="AY192" s="342"/>
      <c r="AZ192" s="342"/>
      <c r="BA192" s="341">
        <v>4</v>
      </c>
    </row>
    <row r="193" spans="2:53" ht="21" x14ac:dyDescent="0.25">
      <c r="B193" s="330"/>
      <c r="C193" s="331" t="s">
        <v>25</v>
      </c>
      <c r="D193" s="332" t="s">
        <v>3</v>
      </c>
      <c r="E193" s="333" t="s">
        <v>104</v>
      </c>
      <c r="F193" s="332" t="s">
        <v>26</v>
      </c>
      <c r="H193" s="128">
        <v>4</v>
      </c>
      <c r="V193" s="341">
        <v>5</v>
      </c>
      <c r="W193" s="344">
        <v>300</v>
      </c>
      <c r="X193" s="344">
        <v>2.4000000000000001E-4</v>
      </c>
      <c r="Y193" s="345">
        <v>2.5000000000000001E-3</v>
      </c>
      <c r="Z193" s="341">
        <v>5</v>
      </c>
      <c r="AA193" s="341">
        <v>5</v>
      </c>
      <c r="AB193" s="344">
        <v>300</v>
      </c>
      <c r="AC193" s="344">
        <v>2.4000000000000001E-4</v>
      </c>
      <c r="AD193" s="345">
        <v>2.5000000000000001E-3</v>
      </c>
      <c r="AE193" s="341">
        <v>5</v>
      </c>
      <c r="AG193" s="341">
        <v>5</v>
      </c>
      <c r="AH193" s="346">
        <v>20000</v>
      </c>
      <c r="AI193" s="347">
        <v>0</v>
      </c>
      <c r="AJ193" s="342">
        <v>0.2</v>
      </c>
      <c r="AK193" s="341">
        <v>5</v>
      </c>
      <c r="AL193" s="341">
        <v>5</v>
      </c>
      <c r="AM193" s="346">
        <v>20000</v>
      </c>
      <c r="AN193" s="347">
        <v>0</v>
      </c>
      <c r="AO193" s="342">
        <v>0.2</v>
      </c>
      <c r="AP193" s="341">
        <v>5</v>
      </c>
      <c r="AR193" s="341">
        <v>5</v>
      </c>
      <c r="AS193" s="342">
        <v>70</v>
      </c>
      <c r="AT193" s="342"/>
      <c r="AU193" s="342"/>
      <c r="AV193" s="341">
        <v>5</v>
      </c>
      <c r="AW193" s="341">
        <v>5</v>
      </c>
      <c r="AX193" s="342">
        <v>70</v>
      </c>
      <c r="AY193" s="342"/>
      <c r="AZ193" s="342"/>
      <c r="BA193" s="341">
        <v>5</v>
      </c>
    </row>
    <row r="194" spans="2:53" x14ac:dyDescent="0.25">
      <c r="B194" s="330"/>
      <c r="C194" s="334">
        <f>VLOOKUP(D194,C200:F207,4,FALSE)</f>
        <v>2</v>
      </c>
      <c r="D194" s="335">
        <f>VLOOKUP(D195,C200:E207,1,TRUE)</f>
        <v>-1.7000000000000001E-2</v>
      </c>
      <c r="E194" s="336">
        <f>VLOOKUP(D194,C200:E207,2,FALSE)</f>
        <v>-3.0000000000000001E-3</v>
      </c>
      <c r="F194" s="336">
        <f>VLOOKUP(D194,C200:E207,3,FALSE)</f>
        <v>0.02</v>
      </c>
      <c r="V194" s="341">
        <v>6</v>
      </c>
      <c r="W194" s="344">
        <v>400</v>
      </c>
      <c r="X194" s="344">
        <v>1.6000000000000001E-4</v>
      </c>
      <c r="Y194" s="345">
        <v>2.5000000000000001E-3</v>
      </c>
      <c r="Z194" s="341">
        <v>6</v>
      </c>
      <c r="AA194" s="341">
        <v>6</v>
      </c>
      <c r="AB194" s="344">
        <v>400</v>
      </c>
      <c r="AC194" s="344">
        <v>1.6000000000000001E-4</v>
      </c>
      <c r="AD194" s="345">
        <v>2.5000000000000001E-3</v>
      </c>
      <c r="AE194" s="341">
        <v>6</v>
      </c>
      <c r="AG194" s="341">
        <v>6</v>
      </c>
      <c r="AH194" s="346">
        <v>32000</v>
      </c>
      <c r="AI194" s="347">
        <v>0</v>
      </c>
      <c r="AJ194" s="342">
        <v>0.2</v>
      </c>
      <c r="AK194" s="341">
        <v>6</v>
      </c>
      <c r="AL194" s="341">
        <v>6</v>
      </c>
      <c r="AM194" s="346">
        <v>32000</v>
      </c>
      <c r="AN194" s="347">
        <v>0</v>
      </c>
      <c r="AO194" s="342">
        <v>0.2</v>
      </c>
      <c r="AP194" s="341">
        <v>6</v>
      </c>
      <c r="AR194" s="341">
        <v>6</v>
      </c>
      <c r="AS194" s="342">
        <v>200</v>
      </c>
      <c r="AT194" s="342"/>
      <c r="AU194" s="342"/>
      <c r="AV194" s="341">
        <v>6</v>
      </c>
      <c r="AW194" s="341">
        <v>6</v>
      </c>
      <c r="AX194" s="342">
        <v>200</v>
      </c>
      <c r="AY194" s="342"/>
      <c r="AZ194" s="342"/>
      <c r="BA194" s="341">
        <v>6</v>
      </c>
    </row>
    <row r="195" spans="2:53" x14ac:dyDescent="0.25">
      <c r="B195" s="330"/>
      <c r="C195" s="335"/>
      <c r="D195" s="337">
        <f>[1]Datos!F29</f>
        <v>17.683</v>
      </c>
      <c r="E195" s="338">
        <f>(E196-E194)/(D196-D194)*(D195-D194)+E194</f>
        <v>-3.7056572180361202E-3</v>
      </c>
      <c r="F195" s="338">
        <f>(F196-F194)/(D196-D194)*(D195-D194)+F194</f>
        <v>0.02</v>
      </c>
      <c r="V195" s="341">
        <v>7</v>
      </c>
      <c r="W195" s="344">
        <v>500</v>
      </c>
      <c r="X195" s="344">
        <v>-1.9000000000000001E-4</v>
      </c>
      <c r="Y195" s="345">
        <v>2.5000000000000001E-3</v>
      </c>
      <c r="Z195" s="341">
        <v>7</v>
      </c>
      <c r="AA195" s="341">
        <v>7</v>
      </c>
      <c r="AB195" s="344">
        <v>500</v>
      </c>
      <c r="AC195" s="344">
        <v>-1.9000000000000001E-4</v>
      </c>
      <c r="AD195" s="345">
        <v>2.5000000000000001E-3</v>
      </c>
      <c r="AE195" s="341">
        <v>7</v>
      </c>
      <c r="AG195" s="341">
        <v>7</v>
      </c>
      <c r="AH195" s="346"/>
      <c r="AI195" s="347"/>
      <c r="AJ195" s="342"/>
      <c r="AK195" s="341">
        <v>7</v>
      </c>
      <c r="AL195" s="341">
        <v>7</v>
      </c>
      <c r="AM195" s="346"/>
      <c r="AN195" s="347"/>
      <c r="AO195" s="342"/>
      <c r="AP195" s="341">
        <v>7</v>
      </c>
      <c r="AR195" s="341">
        <v>7</v>
      </c>
      <c r="AS195" s="342">
        <v>500</v>
      </c>
      <c r="AT195" s="342"/>
      <c r="AU195" s="342"/>
      <c r="AV195" s="341">
        <v>7</v>
      </c>
      <c r="AW195" s="341">
        <v>7</v>
      </c>
      <c r="AX195" s="342">
        <v>500</v>
      </c>
      <c r="AY195" s="342"/>
      <c r="AZ195" s="342"/>
      <c r="BA195" s="341">
        <v>7</v>
      </c>
    </row>
    <row r="196" spans="2:53" x14ac:dyDescent="0.25">
      <c r="B196" s="330"/>
      <c r="C196" s="334">
        <f>C194+1</f>
        <v>3</v>
      </c>
      <c r="D196" s="335">
        <f>VLOOKUP(C194+1,B200:E207,2,FALSE)</f>
        <v>25.065999999999999</v>
      </c>
      <c r="E196" s="336">
        <f>VLOOKUP(D196,C200:E207,2,FALSE)</f>
        <v>-4.0000000000000001E-3</v>
      </c>
      <c r="F196" s="336">
        <f>VLOOKUP(D196,C200:E207,3,FALSE)</f>
        <v>0.02</v>
      </c>
      <c r="V196" s="341">
        <v>8</v>
      </c>
      <c r="W196" s="342"/>
      <c r="X196" s="342"/>
      <c r="Y196" s="342"/>
      <c r="Z196" s="341">
        <v>8</v>
      </c>
      <c r="AA196" s="341">
        <v>8</v>
      </c>
      <c r="AB196" s="342"/>
      <c r="AC196" s="342"/>
      <c r="AD196" s="342"/>
      <c r="AE196" s="341">
        <v>8</v>
      </c>
      <c r="AG196" s="341">
        <v>8</v>
      </c>
      <c r="AH196" s="342"/>
      <c r="AI196" s="342"/>
      <c r="AJ196" s="342"/>
      <c r="AK196" s="341">
        <v>8</v>
      </c>
      <c r="AL196" s="341">
        <v>8</v>
      </c>
      <c r="AM196" s="342"/>
      <c r="AN196" s="342"/>
      <c r="AO196" s="342"/>
      <c r="AP196" s="341">
        <v>8</v>
      </c>
      <c r="AR196" s="341">
        <v>8</v>
      </c>
      <c r="AS196" s="342">
        <v>700</v>
      </c>
      <c r="AT196" s="342"/>
      <c r="AU196" s="342"/>
      <c r="AV196" s="341">
        <v>8</v>
      </c>
      <c r="AW196" s="341">
        <v>8</v>
      </c>
      <c r="AX196" s="342">
        <v>700</v>
      </c>
      <c r="AY196" s="342"/>
      <c r="AZ196" s="342"/>
      <c r="BA196" s="341">
        <v>8</v>
      </c>
    </row>
    <row r="197" spans="2:53" x14ac:dyDescent="0.25">
      <c r="B197" s="330"/>
      <c r="C197" s="330"/>
      <c r="D197" s="330"/>
      <c r="E197" s="330"/>
      <c r="F197" s="330"/>
      <c r="V197" s="341">
        <v>9</v>
      </c>
      <c r="W197" s="342"/>
      <c r="X197" s="342"/>
      <c r="Y197" s="342"/>
      <c r="Z197" s="341">
        <v>9</v>
      </c>
      <c r="AA197" s="341">
        <v>9</v>
      </c>
      <c r="AB197" s="342"/>
      <c r="AC197" s="342"/>
      <c r="AD197" s="342"/>
      <c r="AE197" s="341">
        <v>9</v>
      </c>
      <c r="AG197" s="341">
        <v>9</v>
      </c>
      <c r="AH197" s="342"/>
      <c r="AI197" s="342"/>
      <c r="AJ197" s="342"/>
      <c r="AK197" s="341">
        <v>9</v>
      </c>
      <c r="AL197" s="341">
        <v>9</v>
      </c>
      <c r="AM197" s="342"/>
      <c r="AN197" s="342"/>
      <c r="AO197" s="342"/>
      <c r="AP197" s="341">
        <v>9</v>
      </c>
      <c r="AR197" s="341">
        <v>9</v>
      </c>
      <c r="AS197" s="342">
        <v>1000</v>
      </c>
      <c r="AT197" s="342"/>
      <c r="AU197" s="342"/>
      <c r="AV197" s="341">
        <v>9</v>
      </c>
      <c r="AW197" s="341">
        <v>9</v>
      </c>
      <c r="AX197" s="342">
        <v>1000</v>
      </c>
      <c r="AY197" s="342"/>
      <c r="AZ197" s="342"/>
      <c r="BA197" s="341">
        <v>9</v>
      </c>
    </row>
    <row r="198" spans="2:53" ht="15.6" x14ac:dyDescent="0.3">
      <c r="B198" s="330"/>
      <c r="C198" s="580" t="s">
        <v>103</v>
      </c>
      <c r="D198" s="580"/>
      <c r="E198" s="580"/>
      <c r="F198" s="339"/>
      <c r="V198" s="341">
        <v>10</v>
      </c>
      <c r="W198" s="342"/>
      <c r="X198" s="342"/>
      <c r="Y198" s="342"/>
      <c r="Z198" s="341">
        <v>10</v>
      </c>
      <c r="AA198" s="341">
        <v>10</v>
      </c>
      <c r="AB198" s="342"/>
      <c r="AC198" s="342"/>
      <c r="AD198" s="342"/>
      <c r="AE198" s="341">
        <v>10</v>
      </c>
      <c r="AG198" s="341">
        <v>10</v>
      </c>
      <c r="AH198" s="342"/>
      <c r="AI198" s="342"/>
      <c r="AJ198" s="342"/>
      <c r="AK198" s="341">
        <v>10</v>
      </c>
      <c r="AL198" s="341">
        <v>10</v>
      </c>
      <c r="AM198" s="342"/>
      <c r="AN198" s="342"/>
      <c r="AO198" s="342"/>
      <c r="AP198" s="341">
        <v>10</v>
      </c>
      <c r="AR198" s="341">
        <v>10</v>
      </c>
      <c r="AS198" s="342">
        <v>1500</v>
      </c>
      <c r="AT198" s="342"/>
      <c r="AU198" s="342"/>
      <c r="AV198" s="341">
        <v>10</v>
      </c>
      <c r="AW198" s="341">
        <v>10</v>
      </c>
      <c r="AX198" s="342">
        <v>1500</v>
      </c>
      <c r="AY198" s="342"/>
      <c r="AZ198" s="342"/>
      <c r="BA198" s="341">
        <v>10</v>
      </c>
    </row>
    <row r="199" spans="2:53" x14ac:dyDescent="0.25">
      <c r="B199" s="340"/>
      <c r="C199" s="333" t="s">
        <v>3</v>
      </c>
      <c r="D199" s="333" t="s">
        <v>229</v>
      </c>
      <c r="E199" s="333" t="s">
        <v>14</v>
      </c>
      <c r="F199" s="340"/>
    </row>
    <row r="200" spans="2:53" x14ac:dyDescent="0.25">
      <c r="B200" s="341">
        <v>1</v>
      </c>
      <c r="C200" s="342">
        <v>-30.047999999999998</v>
      </c>
      <c r="D200" s="342">
        <v>-2.1000000000000001E-2</v>
      </c>
      <c r="E200" s="342">
        <v>2.3E-2</v>
      </c>
      <c r="F200" s="341">
        <v>1</v>
      </c>
    </row>
    <row r="201" spans="2:53" ht="15.6" x14ac:dyDescent="0.3">
      <c r="B201" s="341">
        <v>2</v>
      </c>
      <c r="C201" s="342">
        <v>-1.7000000000000001E-2</v>
      </c>
      <c r="D201" s="342">
        <v>-3.0000000000000001E-3</v>
      </c>
      <c r="E201" s="342">
        <v>0.02</v>
      </c>
      <c r="F201" s="341">
        <v>2</v>
      </c>
      <c r="V201" s="330"/>
      <c r="W201" s="580" t="s">
        <v>92</v>
      </c>
      <c r="X201" s="580"/>
      <c r="Y201" s="580"/>
      <c r="Z201" s="580"/>
      <c r="AA201" s="330"/>
      <c r="AB201" s="580" t="s">
        <v>136</v>
      </c>
      <c r="AC201" s="580"/>
      <c r="AD201" s="580"/>
      <c r="AE201" s="580"/>
      <c r="AG201" s="330"/>
      <c r="AH201" s="580" t="s">
        <v>92</v>
      </c>
      <c r="AI201" s="580"/>
      <c r="AJ201" s="580"/>
      <c r="AK201" s="580"/>
      <c r="AL201" s="330"/>
      <c r="AM201" s="580" t="s">
        <v>136</v>
      </c>
      <c r="AN201" s="580"/>
      <c r="AO201" s="580"/>
      <c r="AP201" s="580"/>
      <c r="AR201" s="330"/>
      <c r="AS201" s="580" t="s">
        <v>92</v>
      </c>
      <c r="AT201" s="580"/>
      <c r="AU201" s="580"/>
      <c r="AV201" s="580"/>
      <c r="AW201" s="330"/>
      <c r="AX201" s="580" t="s">
        <v>136</v>
      </c>
      <c r="AY201" s="580"/>
      <c r="AZ201" s="580"/>
      <c r="BA201" s="580"/>
    </row>
    <row r="202" spans="2:53" ht="39.6" x14ac:dyDescent="0.25">
      <c r="B202" s="341">
        <v>3</v>
      </c>
      <c r="C202" s="342">
        <v>25.065999999999999</v>
      </c>
      <c r="D202" s="342">
        <v>-4.0000000000000001E-3</v>
      </c>
      <c r="E202" s="342">
        <v>0.02</v>
      </c>
      <c r="F202" s="341">
        <v>3</v>
      </c>
      <c r="V202" s="330"/>
      <c r="W202" s="331" t="s">
        <v>25</v>
      </c>
      <c r="X202" s="333" t="s">
        <v>137</v>
      </c>
      <c r="Y202" s="333" t="s">
        <v>229</v>
      </c>
      <c r="Z202" s="332" t="s">
        <v>26</v>
      </c>
      <c r="AA202" s="330"/>
      <c r="AB202" s="331" t="s">
        <v>25</v>
      </c>
      <c r="AC202" s="333" t="s">
        <v>137</v>
      </c>
      <c r="AD202" s="333" t="s">
        <v>229</v>
      </c>
      <c r="AE202" s="332" t="s">
        <v>26</v>
      </c>
      <c r="AG202" s="330"/>
      <c r="AH202" s="331" t="s">
        <v>25</v>
      </c>
      <c r="AI202" s="333" t="s">
        <v>137</v>
      </c>
      <c r="AJ202" s="333" t="s">
        <v>229</v>
      </c>
      <c r="AK202" s="332" t="s">
        <v>26</v>
      </c>
      <c r="AL202" s="330"/>
      <c r="AM202" s="331" t="s">
        <v>25</v>
      </c>
      <c r="AN202" s="333" t="s">
        <v>137</v>
      </c>
      <c r="AO202" s="333" t="s">
        <v>229</v>
      </c>
      <c r="AP202" s="332" t="s">
        <v>26</v>
      </c>
      <c r="AR202" s="330"/>
      <c r="AS202" s="331" t="s">
        <v>25</v>
      </c>
      <c r="AT202" s="333" t="s">
        <v>137</v>
      </c>
      <c r="AU202" s="333" t="s">
        <v>229</v>
      </c>
      <c r="AV202" s="332" t="s">
        <v>26</v>
      </c>
      <c r="AW202" s="330"/>
      <c r="AX202" s="331" t="s">
        <v>25</v>
      </c>
      <c r="AY202" s="333" t="s">
        <v>138</v>
      </c>
      <c r="AZ202" s="333" t="s">
        <v>104</v>
      </c>
      <c r="BA202" s="332" t="s">
        <v>26</v>
      </c>
    </row>
    <row r="203" spans="2:53" x14ac:dyDescent="0.25">
      <c r="B203" s="341">
        <v>4</v>
      </c>
      <c r="C203" s="342">
        <v>50.000999999999998</v>
      </c>
      <c r="D203" s="342">
        <v>-0.01</v>
      </c>
      <c r="E203" s="342">
        <v>0.02</v>
      </c>
      <c r="F203" s="341">
        <v>4</v>
      </c>
      <c r="V203" s="330"/>
      <c r="W203" s="334">
        <f>VLOOKUP(X203,W209:Z218,4,FALSE)</f>
        <v>2</v>
      </c>
      <c r="X203" s="335">
        <f>VLOOKUP(X204,W209:Y218,1,TRUE)</f>
        <v>1</v>
      </c>
      <c r="Y203" s="336">
        <f>VLOOKUP(X203,W209:Y218,2,FALSE)</f>
        <v>6.9999999999999994E-5</v>
      </c>
      <c r="Z203" s="336">
        <f>VLOOKUP(X203,W209:Y218,3,FALSE)</f>
        <v>2.5000000000000001E-3</v>
      </c>
      <c r="AA203" s="330"/>
      <c r="AB203" s="334">
        <f>VLOOKUP(AC203,AB209:AE218,4,FALSE)</f>
        <v>2</v>
      </c>
      <c r="AC203" s="335">
        <f>VLOOKUP(AC204,AB209:AE218,1,TRUE)</f>
        <v>1</v>
      </c>
      <c r="AD203" s="336">
        <f>VLOOKUP(AC203,AB209:AE215,2,FALSE)</f>
        <v>6.9999999999999994E-5</v>
      </c>
      <c r="AE203" s="336">
        <f>VLOOKUP(AC203,AB209:AE218,3,FALSE)</f>
        <v>2.5000000000000001E-3</v>
      </c>
      <c r="AG203" s="330"/>
      <c r="AH203" s="334">
        <f>VLOOKUP(AI203,AH209:AK218,4,FALSE)</f>
        <v>2</v>
      </c>
      <c r="AI203" s="335">
        <f>VLOOKUP(AI204,AH209:AJ218,1,TRUE)</f>
        <v>10</v>
      </c>
      <c r="AJ203" s="336">
        <f>VLOOKUP(AI203,AH209:AJ218,2,FALSE)</f>
        <v>0</v>
      </c>
      <c r="AK203" s="336">
        <f>VLOOKUP(AI203,AH209:AJ218,3,FALSE)</f>
        <v>0.2</v>
      </c>
      <c r="AL203" s="330"/>
      <c r="AM203" s="334">
        <f>VLOOKUP(AN203,AM209:AP218,4,FALSE)</f>
        <v>2</v>
      </c>
      <c r="AN203" s="335">
        <f>VLOOKUP(AN204,AM209:AP218,1,TRUE)</f>
        <v>10</v>
      </c>
      <c r="AO203" s="336">
        <f>VLOOKUP(AN203,AM209:AP215,2,FALSE)</f>
        <v>0</v>
      </c>
      <c r="AP203" s="336">
        <f>VLOOKUP(AN203,AM209:AP218,3,FALSE)</f>
        <v>0.2</v>
      </c>
      <c r="AR203" s="330"/>
      <c r="AS203" s="334">
        <f>VLOOKUP(AT203,AS209:AV218,4,FALSE)</f>
        <v>3</v>
      </c>
      <c r="AT203" s="335">
        <f>VLOOKUP(AT204,AS209:AU218,1,TRUE)</f>
        <v>20</v>
      </c>
      <c r="AU203" s="336">
        <f>VLOOKUP(AT203,AS209:AU218,2,FALSE)</f>
        <v>0</v>
      </c>
      <c r="AV203" s="336">
        <f>VLOOKUP(AT203,AS209:AU218,3,FALSE)</f>
        <v>0</v>
      </c>
      <c r="AW203" s="330"/>
      <c r="AX203" s="334">
        <f>VLOOKUP(AY203,AX209:BA218,4,FALSE)</f>
        <v>2</v>
      </c>
      <c r="AY203" s="335">
        <f>VLOOKUP(AY204,AX209:BA218,1,TRUE)</f>
        <v>10</v>
      </c>
      <c r="AZ203" s="336">
        <f>VLOOKUP(AY203,AX209:BA215,2,FALSE)</f>
        <v>0</v>
      </c>
      <c r="BA203" s="336">
        <f>VLOOKUP(AY203,AX209:BA218,3,FALSE)</f>
        <v>0</v>
      </c>
    </row>
    <row r="204" spans="2:53" x14ac:dyDescent="0.25">
      <c r="B204" s="341">
        <v>5</v>
      </c>
      <c r="C204" s="342">
        <v>99.995000000000005</v>
      </c>
      <c r="D204" s="342">
        <v>-4.0000000000000001E-3</v>
      </c>
      <c r="E204" s="342">
        <v>0.02</v>
      </c>
      <c r="F204" s="341">
        <v>5</v>
      </c>
      <c r="V204" s="330"/>
      <c r="W204" s="335"/>
      <c r="X204" s="337">
        <f>[1]Datos!D29</f>
        <v>26.667899999999999</v>
      </c>
      <c r="Y204" s="338">
        <f>(Y205-Y203)/(X205-X203)*(X204-X203)+Y203</f>
        <v>1.0889075757575757E-4</v>
      </c>
      <c r="Z204" s="338">
        <f>(Z205-Z203)/(X205-X203)*(X204-X203)+Z203</f>
        <v>2.5000000000000001E-3</v>
      </c>
      <c r="AA204" s="330"/>
      <c r="AB204" s="335"/>
      <c r="AC204" s="337">
        <f>[1]Datos!E29</f>
        <v>16.693300000000001</v>
      </c>
      <c r="AD204" s="338">
        <f>(AD205-AD203)/(AC205-AC203)*(AC204-AC203)+AD203</f>
        <v>9.3777727272727264E-5</v>
      </c>
      <c r="AE204" s="338">
        <f>(AE205-AE203)/(AC205-AC203)*(AC204-AC203)+AE203</f>
        <v>2.5000000000000001E-3</v>
      </c>
      <c r="AG204" s="330"/>
      <c r="AH204" s="335"/>
      <c r="AI204" s="337">
        <f>X204</f>
        <v>26.667899999999999</v>
      </c>
      <c r="AJ204" s="338">
        <f>(AJ205-AJ203)/(AI205-AI203)*(AI204-AI203)+AJ203</f>
        <v>0</v>
      </c>
      <c r="AK204" s="338">
        <f>(AK205-AK203)/(AI205-AI203)*(AI204-AI203)+AK203</f>
        <v>0.2</v>
      </c>
      <c r="AL204" s="330"/>
      <c r="AM204" s="335"/>
      <c r="AN204" s="337">
        <f>AC204</f>
        <v>16.693300000000001</v>
      </c>
      <c r="AO204" s="338">
        <f>(AO205-AO203)/(AN205-AN203)*(AN204-AN203)+AO203</f>
        <v>0</v>
      </c>
      <c r="AP204" s="338">
        <f>(AP205-AP203)/(AN205-AN203)*(AN204-AN203)+AP203</f>
        <v>0.2</v>
      </c>
      <c r="AR204" s="330"/>
      <c r="AS204" s="335"/>
      <c r="AT204" s="337">
        <f>AI204</f>
        <v>26.667899999999999</v>
      </c>
      <c r="AU204" s="338">
        <f>(AU205-AU203)/(AT205-AT203)*(AT204-AT203)+AU203</f>
        <v>0</v>
      </c>
      <c r="AV204" s="338">
        <f>(AV205-AV203)/(AT205-AT203)*(AT204-AT203)+AV203</f>
        <v>0</v>
      </c>
      <c r="AW204" s="330"/>
      <c r="AX204" s="335"/>
      <c r="AY204" s="337">
        <f>AN204</f>
        <v>16.693300000000001</v>
      </c>
      <c r="AZ204" s="338">
        <f>(AZ205-AZ203)/(AY205-AY203)*(AY204-AY203)+AZ203</f>
        <v>0</v>
      </c>
      <c r="BA204" s="338">
        <f>(BA205-BA203)/(AY205-AY203)*(AY204-AY203)+BA203</f>
        <v>0</v>
      </c>
    </row>
    <row r="205" spans="2:53" x14ac:dyDescent="0.25">
      <c r="B205" s="341">
        <v>6</v>
      </c>
      <c r="C205" s="342">
        <v>150.16800000000001</v>
      </c>
      <c r="D205" s="342">
        <v>0</v>
      </c>
      <c r="E205" s="342">
        <v>2.5999999999999999E-2</v>
      </c>
      <c r="F205" s="341">
        <v>6</v>
      </c>
      <c r="V205" s="330"/>
      <c r="W205" s="334">
        <f>W203+1</f>
        <v>3</v>
      </c>
      <c r="X205" s="335">
        <f>VLOOKUP(W203+1,V209:Y218,2,FALSE)</f>
        <v>100</v>
      </c>
      <c r="Y205" s="336">
        <f>VLOOKUP(X205,W209:Y218,2,FALSE)</f>
        <v>2.2000000000000001E-4</v>
      </c>
      <c r="Z205" s="336">
        <f>VLOOKUP(X205,W209:Y218,3,FALSE)</f>
        <v>2.5000000000000001E-3</v>
      </c>
      <c r="AA205" s="330"/>
      <c r="AB205" s="334">
        <f>AB203+1</f>
        <v>3</v>
      </c>
      <c r="AC205" s="335">
        <f>VLOOKUP(AB203+1,AA209:AE218,2,FALSE)</f>
        <v>100</v>
      </c>
      <c r="AD205" s="336">
        <f>VLOOKUP(AC205,AB209:AE218,2,FALSE)</f>
        <v>2.2000000000000001E-4</v>
      </c>
      <c r="AE205" s="336">
        <f>VLOOKUP(AC205,AB209:AE218,3,FALSE)</f>
        <v>2.5000000000000001E-3</v>
      </c>
      <c r="AG205" s="330"/>
      <c r="AH205" s="334">
        <f>AH203+1</f>
        <v>3</v>
      </c>
      <c r="AI205" s="335">
        <f>VLOOKUP(AH203+1,AG209:AJ218,2,FALSE)</f>
        <v>5000</v>
      </c>
      <c r="AJ205" s="336">
        <f>VLOOKUP(AI205,AH209:AJ218,2,FALSE)</f>
        <v>0</v>
      </c>
      <c r="AK205" s="336">
        <f>VLOOKUP(AI205,AH209:AJ218,3,FALSE)</f>
        <v>0.2</v>
      </c>
      <c r="AL205" s="330"/>
      <c r="AM205" s="334">
        <f>AM203+1</f>
        <v>3</v>
      </c>
      <c r="AN205" s="335">
        <f>VLOOKUP(AM203+1,AL209:AP218,2,FALSE)</f>
        <v>5000</v>
      </c>
      <c r="AO205" s="336">
        <f>VLOOKUP(AN205,AM209:AP218,2,FALSE)</f>
        <v>0</v>
      </c>
      <c r="AP205" s="336">
        <f>VLOOKUP(AN205,AM209:AP218,3,FALSE)</f>
        <v>0.2</v>
      </c>
      <c r="AR205" s="330"/>
      <c r="AS205" s="334">
        <f>AS203+1</f>
        <v>4</v>
      </c>
      <c r="AT205" s="335">
        <f>VLOOKUP(AS203+1,AR209:AU218,2,FALSE)</f>
        <v>50</v>
      </c>
      <c r="AU205" s="336">
        <f>VLOOKUP(AT205,AS209:AU218,2,FALSE)</f>
        <v>0</v>
      </c>
      <c r="AV205" s="336">
        <f>VLOOKUP(AT205,AS209:AU218,3,FALSE)</f>
        <v>0</v>
      </c>
      <c r="AW205" s="330"/>
      <c r="AX205" s="334">
        <f>AX203+1</f>
        <v>3</v>
      </c>
      <c r="AY205" s="335">
        <f>VLOOKUP(AX203+1,AW209:BA218,2,FALSE)</f>
        <v>20</v>
      </c>
      <c r="AZ205" s="336">
        <f>VLOOKUP(AY205,AX209:BA218,2,FALSE)</f>
        <v>0</v>
      </c>
      <c r="BA205" s="336">
        <f>VLOOKUP(AY205,AX209:BA218,3,FALSE)</f>
        <v>0</v>
      </c>
    </row>
    <row r="206" spans="2:53" x14ac:dyDescent="0.25">
      <c r="B206" s="341">
        <v>7</v>
      </c>
      <c r="C206" s="342">
        <v>200.14400000000001</v>
      </c>
      <c r="D206" s="342">
        <v>-5.0000000000000001E-3</v>
      </c>
      <c r="E206" s="342">
        <v>2.5999999999999999E-2</v>
      </c>
      <c r="F206" s="341">
        <v>7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G206" s="330"/>
      <c r="AH206" s="330"/>
      <c r="AI206" s="330"/>
      <c r="AJ206" s="330"/>
      <c r="AK206" s="330"/>
      <c r="AL206" s="330"/>
      <c r="AM206" s="330"/>
      <c r="AN206" s="330"/>
      <c r="AO206" s="330"/>
      <c r="AP206" s="330"/>
      <c r="AR206" s="330"/>
      <c r="AS206" s="330"/>
      <c r="AT206" s="330"/>
      <c r="AU206" s="330"/>
      <c r="AV206" s="330"/>
      <c r="AW206" s="330"/>
      <c r="AX206" s="330"/>
      <c r="AY206" s="330"/>
      <c r="AZ206" s="330"/>
      <c r="BA206" s="330"/>
    </row>
    <row r="207" spans="2:53" ht="26.4" x14ac:dyDescent="0.3">
      <c r="B207" s="341">
        <v>8</v>
      </c>
      <c r="C207" s="342">
        <v>250.02799999999999</v>
      </c>
      <c r="D207" s="342">
        <v>-1.6E-2</v>
      </c>
      <c r="E207" s="342">
        <v>2.5999999999999999E-2</v>
      </c>
      <c r="F207" s="341">
        <v>8</v>
      </c>
      <c r="V207" s="330"/>
      <c r="W207" s="333" t="s">
        <v>139</v>
      </c>
      <c r="X207" s="333" t="s">
        <v>229</v>
      </c>
      <c r="Y207" s="333" t="s">
        <v>14</v>
      </c>
      <c r="Z207" s="339"/>
      <c r="AA207" s="339"/>
      <c r="AB207" s="333" t="s">
        <v>139</v>
      </c>
      <c r="AC207" s="333" t="s">
        <v>229</v>
      </c>
      <c r="AD207" s="333" t="s">
        <v>14</v>
      </c>
      <c r="AE207" s="339"/>
      <c r="AG207" s="330"/>
      <c r="AH207" s="333" t="s">
        <v>139</v>
      </c>
      <c r="AI207" s="333" t="s">
        <v>228</v>
      </c>
      <c r="AJ207" s="333" t="s">
        <v>14</v>
      </c>
      <c r="AK207" s="339"/>
      <c r="AL207" s="339"/>
      <c r="AM207" s="333" t="s">
        <v>139</v>
      </c>
      <c r="AN207" s="333" t="s">
        <v>228</v>
      </c>
      <c r="AO207" s="333" t="s">
        <v>14</v>
      </c>
      <c r="AP207" s="339"/>
      <c r="AR207" s="330"/>
      <c r="AS207" s="333" t="s">
        <v>139</v>
      </c>
      <c r="AT207" s="333" t="s">
        <v>228</v>
      </c>
      <c r="AU207" s="333" t="s">
        <v>14</v>
      </c>
      <c r="AV207" s="339"/>
      <c r="AW207" s="339"/>
      <c r="AX207" s="333" t="s">
        <v>139</v>
      </c>
      <c r="AY207" s="333" t="s">
        <v>228</v>
      </c>
      <c r="AZ207" s="333" t="s">
        <v>14</v>
      </c>
      <c r="BA207" s="339"/>
    </row>
    <row r="208" spans="2:53" x14ac:dyDescent="0.25">
      <c r="V208" s="340"/>
      <c r="W208" s="333" t="s">
        <v>91</v>
      </c>
      <c r="X208" s="333" t="s">
        <v>91</v>
      </c>
      <c r="Y208" s="333" t="s">
        <v>91</v>
      </c>
      <c r="Z208" s="340"/>
      <c r="AA208" s="340"/>
      <c r="AB208" s="333" t="s">
        <v>91</v>
      </c>
      <c r="AC208" s="333" t="s">
        <v>91</v>
      </c>
      <c r="AD208" s="333" t="s">
        <v>91</v>
      </c>
      <c r="AE208" s="340"/>
      <c r="AG208" s="340"/>
      <c r="AH208" s="333" t="s">
        <v>91</v>
      </c>
      <c r="AI208" s="333" t="s">
        <v>91</v>
      </c>
      <c r="AJ208" s="333" t="s">
        <v>91</v>
      </c>
      <c r="AK208" s="340"/>
      <c r="AL208" s="340"/>
      <c r="AM208" s="333" t="s">
        <v>91</v>
      </c>
      <c r="AN208" s="333" t="s">
        <v>91</v>
      </c>
      <c r="AO208" s="333" t="s">
        <v>91</v>
      </c>
      <c r="AP208" s="340"/>
      <c r="AR208" s="340"/>
      <c r="AS208" s="333" t="s">
        <v>91</v>
      </c>
      <c r="AT208" s="333" t="s">
        <v>91</v>
      </c>
      <c r="AU208" s="333" t="s">
        <v>91</v>
      </c>
      <c r="AV208" s="340"/>
      <c r="AW208" s="340"/>
      <c r="AX208" s="333" t="s">
        <v>91</v>
      </c>
      <c r="AY208" s="333" t="s">
        <v>91</v>
      </c>
      <c r="AZ208" s="333" t="s">
        <v>91</v>
      </c>
      <c r="BA208" s="340"/>
    </row>
    <row r="209" spans="2:53" ht="15.6" x14ac:dyDescent="0.3">
      <c r="B209" s="330"/>
      <c r="C209" s="580" t="s">
        <v>103</v>
      </c>
      <c r="D209" s="580"/>
      <c r="E209" s="580"/>
      <c r="F209" s="580"/>
      <c r="V209" s="341">
        <v>1</v>
      </c>
      <c r="W209" s="344">
        <v>0</v>
      </c>
      <c r="X209" s="344">
        <v>0</v>
      </c>
      <c r="Y209" s="345">
        <v>1.6000000000000001E-4</v>
      </c>
      <c r="Z209" s="341">
        <v>1</v>
      </c>
      <c r="AA209" s="341">
        <v>1</v>
      </c>
      <c r="AB209" s="344">
        <v>0</v>
      </c>
      <c r="AC209" s="344">
        <v>0</v>
      </c>
      <c r="AD209" s="345">
        <v>1.6000000000000001E-4</v>
      </c>
      <c r="AE209" s="341">
        <v>1</v>
      </c>
      <c r="AG209" s="341">
        <v>1</v>
      </c>
      <c r="AH209" s="346">
        <v>0</v>
      </c>
      <c r="AI209" s="347">
        <v>0</v>
      </c>
      <c r="AJ209" s="342">
        <v>0.05</v>
      </c>
      <c r="AK209" s="341">
        <v>1</v>
      </c>
      <c r="AL209" s="341">
        <v>1</v>
      </c>
      <c r="AM209" s="346">
        <v>0</v>
      </c>
      <c r="AN209" s="347">
        <v>0</v>
      </c>
      <c r="AO209" s="342">
        <v>0.05</v>
      </c>
      <c r="AP209" s="341">
        <v>1</v>
      </c>
      <c r="AR209" s="341">
        <v>1</v>
      </c>
      <c r="AS209" s="342">
        <v>0</v>
      </c>
      <c r="AT209" s="342"/>
      <c r="AU209" s="342"/>
      <c r="AV209" s="341">
        <v>1</v>
      </c>
      <c r="AW209" s="341">
        <v>1</v>
      </c>
      <c r="AX209" s="342">
        <v>0</v>
      </c>
      <c r="AY209" s="342"/>
      <c r="AZ209" s="342"/>
      <c r="BA209" s="341">
        <v>1</v>
      </c>
    </row>
    <row r="210" spans="2:53" ht="21" x14ac:dyDescent="0.25">
      <c r="B210" s="330"/>
      <c r="C210" s="331" t="s">
        <v>25</v>
      </c>
      <c r="D210" s="332" t="s">
        <v>3</v>
      </c>
      <c r="E210" s="333" t="s">
        <v>104</v>
      </c>
      <c r="F210" s="332" t="s">
        <v>26</v>
      </c>
      <c r="H210" s="128">
        <v>5</v>
      </c>
      <c r="V210" s="341">
        <v>2</v>
      </c>
      <c r="W210" s="344">
        <v>1</v>
      </c>
      <c r="X210" s="344">
        <v>6.9999999999999994E-5</v>
      </c>
      <c r="Y210" s="345">
        <v>2.5000000000000001E-3</v>
      </c>
      <c r="Z210" s="341">
        <v>2</v>
      </c>
      <c r="AA210" s="341">
        <v>2</v>
      </c>
      <c r="AB210" s="344">
        <v>1</v>
      </c>
      <c r="AC210" s="344">
        <v>6.9999999999999994E-5</v>
      </c>
      <c r="AD210" s="345">
        <v>2.5000000000000001E-3</v>
      </c>
      <c r="AE210" s="341">
        <v>2</v>
      </c>
      <c r="AG210" s="341">
        <v>2</v>
      </c>
      <c r="AH210" s="346">
        <v>10</v>
      </c>
      <c r="AI210" s="347">
        <v>0</v>
      </c>
      <c r="AJ210" s="342">
        <v>0.2</v>
      </c>
      <c r="AK210" s="341">
        <v>2</v>
      </c>
      <c r="AL210" s="341">
        <v>2</v>
      </c>
      <c r="AM210" s="346">
        <v>10</v>
      </c>
      <c r="AN210" s="347">
        <v>0</v>
      </c>
      <c r="AO210" s="342">
        <v>0.2</v>
      </c>
      <c r="AP210" s="341">
        <v>2</v>
      </c>
      <c r="AR210" s="341">
        <v>2</v>
      </c>
      <c r="AS210" s="342">
        <v>10</v>
      </c>
      <c r="AT210" s="342"/>
      <c r="AU210" s="342"/>
      <c r="AV210" s="341">
        <v>2</v>
      </c>
      <c r="AW210" s="341">
        <v>2</v>
      </c>
      <c r="AX210" s="342">
        <v>10</v>
      </c>
      <c r="AY210" s="342"/>
      <c r="AZ210" s="342"/>
      <c r="BA210" s="341">
        <v>2</v>
      </c>
    </row>
    <row r="211" spans="2:53" x14ac:dyDescent="0.25">
      <c r="B211" s="330"/>
      <c r="C211" s="334">
        <f>VLOOKUP(D211,C217:F224,4,FALSE)</f>
        <v>2</v>
      </c>
      <c r="D211" s="335">
        <f>VLOOKUP(D212,C217:E224,1,TRUE)</f>
        <v>-1.7000000000000001E-2</v>
      </c>
      <c r="E211" s="336">
        <f>VLOOKUP(D211,C217:E224,2,FALSE)</f>
        <v>-3.0000000000000001E-3</v>
      </c>
      <c r="F211" s="336">
        <f>VLOOKUP(D211,C217:E224,3,FALSE)</f>
        <v>0.02</v>
      </c>
      <c r="V211" s="341">
        <v>3</v>
      </c>
      <c r="W211" s="344">
        <v>100</v>
      </c>
      <c r="X211" s="344">
        <v>2.2000000000000001E-4</v>
      </c>
      <c r="Y211" s="345">
        <v>2.5000000000000001E-3</v>
      </c>
      <c r="Z211" s="341">
        <v>3</v>
      </c>
      <c r="AA211" s="341">
        <v>3</v>
      </c>
      <c r="AB211" s="344">
        <v>100</v>
      </c>
      <c r="AC211" s="344">
        <v>2.2000000000000001E-4</v>
      </c>
      <c r="AD211" s="345">
        <v>2.5000000000000001E-3</v>
      </c>
      <c r="AE211" s="341">
        <v>3</v>
      </c>
      <c r="AG211" s="341">
        <v>3</v>
      </c>
      <c r="AH211" s="346">
        <v>5000</v>
      </c>
      <c r="AI211" s="347">
        <v>0</v>
      </c>
      <c r="AJ211" s="342">
        <v>0.2</v>
      </c>
      <c r="AK211" s="341">
        <v>3</v>
      </c>
      <c r="AL211" s="341">
        <v>3</v>
      </c>
      <c r="AM211" s="346">
        <v>5000</v>
      </c>
      <c r="AN211" s="347">
        <v>0</v>
      </c>
      <c r="AO211" s="342">
        <v>0.2</v>
      </c>
      <c r="AP211" s="341">
        <v>3</v>
      </c>
      <c r="AR211" s="341">
        <v>3</v>
      </c>
      <c r="AS211" s="342">
        <v>20</v>
      </c>
      <c r="AT211" s="342"/>
      <c r="AU211" s="342"/>
      <c r="AV211" s="341">
        <v>3</v>
      </c>
      <c r="AW211" s="341">
        <v>3</v>
      </c>
      <c r="AX211" s="342">
        <v>20</v>
      </c>
      <c r="AY211" s="342"/>
      <c r="AZ211" s="342"/>
      <c r="BA211" s="341">
        <v>3</v>
      </c>
    </row>
    <row r="212" spans="2:53" x14ac:dyDescent="0.25">
      <c r="B212" s="330"/>
      <c r="C212" s="335"/>
      <c r="D212" s="337">
        <f>[1]Datos!F30</f>
        <v>17.684999999999999</v>
      </c>
      <c r="E212" s="338">
        <f>(E213-E211)/(D213-D211)*(D212-D211)+E211</f>
        <v>-3.7057369533149941E-3</v>
      </c>
      <c r="F212" s="338">
        <f>(F213-F211)/(D213-D211)*(D212-D211)+F211</f>
        <v>0.02</v>
      </c>
      <c r="V212" s="341">
        <v>4</v>
      </c>
      <c r="W212" s="344">
        <v>200</v>
      </c>
      <c r="X212" s="344">
        <v>1.7000000000000001E-4</v>
      </c>
      <c r="Y212" s="345">
        <v>2.5000000000000001E-3</v>
      </c>
      <c r="Z212" s="341">
        <v>4</v>
      </c>
      <c r="AA212" s="341">
        <v>4</v>
      </c>
      <c r="AB212" s="344">
        <v>200</v>
      </c>
      <c r="AC212" s="344">
        <v>1.7000000000000001E-4</v>
      </c>
      <c r="AD212" s="345">
        <v>2.5000000000000001E-3</v>
      </c>
      <c r="AE212" s="341">
        <v>4</v>
      </c>
      <c r="AG212" s="341">
        <v>4</v>
      </c>
      <c r="AH212" s="346">
        <v>10000</v>
      </c>
      <c r="AI212" s="347">
        <v>0</v>
      </c>
      <c r="AJ212" s="342">
        <v>0.2</v>
      </c>
      <c r="AK212" s="341">
        <v>4</v>
      </c>
      <c r="AL212" s="341">
        <v>4</v>
      </c>
      <c r="AM212" s="346">
        <v>10000</v>
      </c>
      <c r="AN212" s="347">
        <v>0</v>
      </c>
      <c r="AO212" s="342">
        <v>0.2</v>
      </c>
      <c r="AP212" s="341">
        <v>4</v>
      </c>
      <c r="AR212" s="341">
        <v>4</v>
      </c>
      <c r="AS212" s="342">
        <v>50</v>
      </c>
      <c r="AT212" s="342"/>
      <c r="AU212" s="342"/>
      <c r="AV212" s="341">
        <v>4</v>
      </c>
      <c r="AW212" s="341">
        <v>4</v>
      </c>
      <c r="AX212" s="342">
        <v>50</v>
      </c>
      <c r="AY212" s="342"/>
      <c r="AZ212" s="342"/>
      <c r="BA212" s="341">
        <v>4</v>
      </c>
    </row>
    <row r="213" spans="2:53" x14ac:dyDescent="0.25">
      <c r="B213" s="330"/>
      <c r="C213" s="334">
        <f>C211+1</f>
        <v>3</v>
      </c>
      <c r="D213" s="335">
        <f>VLOOKUP(C211+1,B217:E224,2,FALSE)</f>
        <v>25.065999999999999</v>
      </c>
      <c r="E213" s="336">
        <f>VLOOKUP(D213,C217:E224,2,FALSE)</f>
        <v>-4.0000000000000001E-3</v>
      </c>
      <c r="F213" s="336">
        <f>VLOOKUP(D213,C217:E224,3,FALSE)</f>
        <v>0.02</v>
      </c>
      <c r="V213" s="341">
        <v>5</v>
      </c>
      <c r="W213" s="344">
        <v>300</v>
      </c>
      <c r="X213" s="344">
        <v>2.4000000000000001E-4</v>
      </c>
      <c r="Y213" s="345">
        <v>2.5000000000000001E-3</v>
      </c>
      <c r="Z213" s="341">
        <v>5</v>
      </c>
      <c r="AA213" s="341">
        <v>5</v>
      </c>
      <c r="AB213" s="344">
        <v>300</v>
      </c>
      <c r="AC213" s="344">
        <v>2.4000000000000001E-4</v>
      </c>
      <c r="AD213" s="345">
        <v>2.5000000000000001E-3</v>
      </c>
      <c r="AE213" s="341">
        <v>5</v>
      </c>
      <c r="AG213" s="341">
        <v>5</v>
      </c>
      <c r="AH213" s="346">
        <v>20000</v>
      </c>
      <c r="AI213" s="347">
        <v>0</v>
      </c>
      <c r="AJ213" s="342">
        <v>0.2</v>
      </c>
      <c r="AK213" s="341">
        <v>5</v>
      </c>
      <c r="AL213" s="341">
        <v>5</v>
      </c>
      <c r="AM213" s="346">
        <v>20000</v>
      </c>
      <c r="AN213" s="347">
        <v>0</v>
      </c>
      <c r="AO213" s="342">
        <v>0.2</v>
      </c>
      <c r="AP213" s="341">
        <v>5</v>
      </c>
      <c r="AR213" s="341">
        <v>5</v>
      </c>
      <c r="AS213" s="342">
        <v>70</v>
      </c>
      <c r="AT213" s="342"/>
      <c r="AU213" s="342"/>
      <c r="AV213" s="341">
        <v>5</v>
      </c>
      <c r="AW213" s="341">
        <v>5</v>
      </c>
      <c r="AX213" s="342">
        <v>70</v>
      </c>
      <c r="AY213" s="342"/>
      <c r="AZ213" s="342"/>
      <c r="BA213" s="341">
        <v>5</v>
      </c>
    </row>
    <row r="214" spans="2:53" x14ac:dyDescent="0.25">
      <c r="B214" s="330"/>
      <c r="C214" s="330"/>
      <c r="D214" s="330"/>
      <c r="E214" s="330"/>
      <c r="F214" s="330"/>
      <c r="V214" s="341">
        <v>6</v>
      </c>
      <c r="W214" s="344">
        <v>400</v>
      </c>
      <c r="X214" s="344">
        <v>1.6000000000000001E-4</v>
      </c>
      <c r="Y214" s="345">
        <v>2.5000000000000001E-3</v>
      </c>
      <c r="Z214" s="341">
        <v>6</v>
      </c>
      <c r="AA214" s="341">
        <v>6</v>
      </c>
      <c r="AB214" s="344">
        <v>400</v>
      </c>
      <c r="AC214" s="344">
        <v>1.6000000000000001E-4</v>
      </c>
      <c r="AD214" s="345">
        <v>2.5000000000000001E-3</v>
      </c>
      <c r="AE214" s="341">
        <v>6</v>
      </c>
      <c r="AG214" s="341">
        <v>6</v>
      </c>
      <c r="AH214" s="346">
        <v>32000</v>
      </c>
      <c r="AI214" s="347">
        <v>0</v>
      </c>
      <c r="AJ214" s="342">
        <v>0.2</v>
      </c>
      <c r="AK214" s="341">
        <v>6</v>
      </c>
      <c r="AL214" s="341">
        <v>6</v>
      </c>
      <c r="AM214" s="346">
        <v>32000</v>
      </c>
      <c r="AN214" s="347">
        <v>0</v>
      </c>
      <c r="AO214" s="342">
        <v>0.2</v>
      </c>
      <c r="AP214" s="341">
        <v>6</v>
      </c>
      <c r="AR214" s="341">
        <v>6</v>
      </c>
      <c r="AS214" s="342">
        <v>200</v>
      </c>
      <c r="AT214" s="342"/>
      <c r="AU214" s="342"/>
      <c r="AV214" s="341">
        <v>6</v>
      </c>
      <c r="AW214" s="341">
        <v>6</v>
      </c>
      <c r="AX214" s="342">
        <v>200</v>
      </c>
      <c r="AY214" s="342"/>
      <c r="AZ214" s="342"/>
      <c r="BA214" s="341">
        <v>6</v>
      </c>
    </row>
    <row r="215" spans="2:53" ht="15.6" x14ac:dyDescent="0.3">
      <c r="B215" s="330"/>
      <c r="C215" s="580" t="s">
        <v>27</v>
      </c>
      <c r="D215" s="580"/>
      <c r="E215" s="580"/>
      <c r="F215" s="339"/>
      <c r="V215" s="341">
        <v>7</v>
      </c>
      <c r="W215" s="344">
        <v>500</v>
      </c>
      <c r="X215" s="344">
        <v>-1.9000000000000001E-4</v>
      </c>
      <c r="Y215" s="345">
        <v>2.5000000000000001E-3</v>
      </c>
      <c r="Z215" s="341">
        <v>7</v>
      </c>
      <c r="AA215" s="341">
        <v>7</v>
      </c>
      <c r="AB215" s="344">
        <v>500</v>
      </c>
      <c r="AC215" s="344">
        <v>-1.9000000000000001E-4</v>
      </c>
      <c r="AD215" s="345">
        <v>2.5000000000000001E-3</v>
      </c>
      <c r="AE215" s="341">
        <v>7</v>
      </c>
      <c r="AG215" s="341">
        <v>7</v>
      </c>
      <c r="AH215" s="346"/>
      <c r="AI215" s="347"/>
      <c r="AJ215" s="342"/>
      <c r="AK215" s="341">
        <v>7</v>
      </c>
      <c r="AL215" s="341">
        <v>7</v>
      </c>
      <c r="AM215" s="346"/>
      <c r="AN215" s="347"/>
      <c r="AO215" s="342"/>
      <c r="AP215" s="341">
        <v>7</v>
      </c>
      <c r="AR215" s="341">
        <v>7</v>
      </c>
      <c r="AS215" s="342">
        <v>500</v>
      </c>
      <c r="AT215" s="342"/>
      <c r="AU215" s="342"/>
      <c r="AV215" s="341">
        <v>7</v>
      </c>
      <c r="AW215" s="341">
        <v>7</v>
      </c>
      <c r="AX215" s="342">
        <v>500</v>
      </c>
      <c r="AY215" s="342"/>
      <c r="AZ215" s="342"/>
      <c r="BA215" s="341">
        <v>7</v>
      </c>
    </row>
    <row r="216" spans="2:53" x14ac:dyDescent="0.25">
      <c r="B216" s="340"/>
      <c r="C216" s="333" t="s">
        <v>3</v>
      </c>
      <c r="D216" s="333" t="s">
        <v>229</v>
      </c>
      <c r="E216" s="333" t="s">
        <v>14</v>
      </c>
      <c r="F216" s="340"/>
      <c r="V216" s="341">
        <v>8</v>
      </c>
      <c r="W216" s="342"/>
      <c r="X216" s="342"/>
      <c r="Y216" s="342"/>
      <c r="Z216" s="341">
        <v>8</v>
      </c>
      <c r="AA216" s="341">
        <v>8</v>
      </c>
      <c r="AB216" s="342"/>
      <c r="AC216" s="342"/>
      <c r="AD216" s="342"/>
      <c r="AE216" s="341">
        <v>8</v>
      </c>
      <c r="AG216" s="341">
        <v>8</v>
      </c>
      <c r="AH216" s="342"/>
      <c r="AI216" s="342"/>
      <c r="AJ216" s="342"/>
      <c r="AK216" s="341">
        <v>8</v>
      </c>
      <c r="AL216" s="341">
        <v>8</v>
      </c>
      <c r="AM216" s="342"/>
      <c r="AN216" s="342"/>
      <c r="AO216" s="342"/>
      <c r="AP216" s="341">
        <v>8</v>
      </c>
      <c r="AR216" s="341">
        <v>8</v>
      </c>
      <c r="AS216" s="342">
        <v>700</v>
      </c>
      <c r="AT216" s="342"/>
      <c r="AU216" s="342"/>
      <c r="AV216" s="341">
        <v>8</v>
      </c>
      <c r="AW216" s="341">
        <v>8</v>
      </c>
      <c r="AX216" s="342">
        <v>700</v>
      </c>
      <c r="AY216" s="342"/>
      <c r="AZ216" s="342"/>
      <c r="BA216" s="341">
        <v>8</v>
      </c>
    </row>
    <row r="217" spans="2:53" x14ac:dyDescent="0.25">
      <c r="B217" s="341">
        <v>1</v>
      </c>
      <c r="C217" s="342">
        <v>-30.047999999999998</v>
      </c>
      <c r="D217" s="342">
        <v>-2.1000000000000001E-2</v>
      </c>
      <c r="E217" s="342">
        <v>2.3E-2</v>
      </c>
      <c r="F217" s="341">
        <v>1</v>
      </c>
      <c r="V217" s="341">
        <v>9</v>
      </c>
      <c r="W217" s="342"/>
      <c r="X217" s="342"/>
      <c r="Y217" s="342"/>
      <c r="Z217" s="341">
        <v>9</v>
      </c>
      <c r="AA217" s="341">
        <v>9</v>
      </c>
      <c r="AB217" s="342"/>
      <c r="AC217" s="342"/>
      <c r="AD217" s="342"/>
      <c r="AE217" s="341">
        <v>9</v>
      </c>
      <c r="AG217" s="341">
        <v>9</v>
      </c>
      <c r="AH217" s="342"/>
      <c r="AI217" s="342"/>
      <c r="AJ217" s="342"/>
      <c r="AK217" s="341">
        <v>9</v>
      </c>
      <c r="AL217" s="341">
        <v>9</v>
      </c>
      <c r="AM217" s="342"/>
      <c r="AN217" s="342"/>
      <c r="AO217" s="342"/>
      <c r="AP217" s="341">
        <v>9</v>
      </c>
      <c r="AR217" s="341">
        <v>9</v>
      </c>
      <c r="AS217" s="342">
        <v>1000</v>
      </c>
      <c r="AT217" s="342"/>
      <c r="AU217" s="342"/>
      <c r="AV217" s="341">
        <v>9</v>
      </c>
      <c r="AW217" s="341">
        <v>9</v>
      </c>
      <c r="AX217" s="342">
        <v>1000</v>
      </c>
      <c r="AY217" s="342"/>
      <c r="AZ217" s="342"/>
      <c r="BA217" s="341">
        <v>9</v>
      </c>
    </row>
    <row r="218" spans="2:53" x14ac:dyDescent="0.25">
      <c r="B218" s="341">
        <v>2</v>
      </c>
      <c r="C218" s="342">
        <v>-1.7000000000000001E-2</v>
      </c>
      <c r="D218" s="342">
        <v>-3.0000000000000001E-3</v>
      </c>
      <c r="E218" s="342">
        <v>0.02</v>
      </c>
      <c r="F218" s="341">
        <v>2</v>
      </c>
      <c r="V218" s="341">
        <v>10</v>
      </c>
      <c r="W218" s="342"/>
      <c r="X218" s="342"/>
      <c r="Y218" s="342"/>
      <c r="Z218" s="341">
        <v>10</v>
      </c>
      <c r="AA218" s="341">
        <v>10</v>
      </c>
      <c r="AB218" s="342"/>
      <c r="AC218" s="342"/>
      <c r="AD218" s="342"/>
      <c r="AE218" s="341">
        <v>10</v>
      </c>
      <c r="AG218" s="341">
        <v>10</v>
      </c>
      <c r="AH218" s="342"/>
      <c r="AI218" s="342"/>
      <c r="AJ218" s="342"/>
      <c r="AK218" s="341">
        <v>10</v>
      </c>
      <c r="AL218" s="341">
        <v>10</v>
      </c>
      <c r="AM218" s="342"/>
      <c r="AN218" s="342"/>
      <c r="AO218" s="342"/>
      <c r="AP218" s="341">
        <v>10</v>
      </c>
      <c r="AR218" s="341">
        <v>10</v>
      </c>
      <c r="AS218" s="342">
        <v>1500</v>
      </c>
      <c r="AT218" s="342"/>
      <c r="AU218" s="342"/>
      <c r="AV218" s="341">
        <v>10</v>
      </c>
      <c r="AW218" s="341">
        <v>10</v>
      </c>
      <c r="AX218" s="342">
        <v>1500</v>
      </c>
      <c r="AY218" s="342"/>
      <c r="AZ218" s="342"/>
      <c r="BA218" s="341">
        <v>10</v>
      </c>
    </row>
    <row r="219" spans="2:53" x14ac:dyDescent="0.25">
      <c r="B219" s="341">
        <v>3</v>
      </c>
      <c r="C219" s="342">
        <v>25.065999999999999</v>
      </c>
      <c r="D219" s="342">
        <v>-4.0000000000000001E-3</v>
      </c>
      <c r="E219" s="342">
        <v>0.02</v>
      </c>
      <c r="F219" s="341">
        <v>3</v>
      </c>
    </row>
    <row r="220" spans="2:53" x14ac:dyDescent="0.25">
      <c r="B220" s="341">
        <v>4</v>
      </c>
      <c r="C220" s="342">
        <v>50.000999999999998</v>
      </c>
      <c r="D220" s="342">
        <v>-0.01</v>
      </c>
      <c r="E220" s="342">
        <v>0.02</v>
      </c>
      <c r="F220" s="341">
        <v>4</v>
      </c>
    </row>
    <row r="221" spans="2:53" ht="15.6" x14ac:dyDescent="0.3">
      <c r="B221" s="341">
        <v>5</v>
      </c>
      <c r="C221" s="342">
        <v>99.995000000000005</v>
      </c>
      <c r="D221" s="342">
        <v>-4.0000000000000001E-3</v>
      </c>
      <c r="E221" s="342">
        <v>0.02</v>
      </c>
      <c r="F221" s="341">
        <v>5</v>
      </c>
      <c r="V221" s="330"/>
      <c r="W221" s="580" t="s">
        <v>92</v>
      </c>
      <c r="X221" s="580"/>
      <c r="Y221" s="580"/>
      <c r="Z221" s="580"/>
      <c r="AA221" s="330"/>
      <c r="AB221" s="580" t="s">
        <v>136</v>
      </c>
      <c r="AC221" s="580"/>
      <c r="AD221" s="580"/>
      <c r="AE221" s="580"/>
      <c r="AG221" s="330"/>
      <c r="AH221" s="580" t="s">
        <v>92</v>
      </c>
      <c r="AI221" s="580"/>
      <c r="AJ221" s="580"/>
      <c r="AK221" s="580"/>
      <c r="AL221" s="330"/>
      <c r="AM221" s="580" t="s">
        <v>136</v>
      </c>
      <c r="AN221" s="580"/>
      <c r="AO221" s="580"/>
      <c r="AP221" s="580"/>
      <c r="AR221" s="330"/>
      <c r="AS221" s="580" t="s">
        <v>92</v>
      </c>
      <c r="AT221" s="580"/>
      <c r="AU221" s="580"/>
      <c r="AV221" s="580"/>
      <c r="AW221" s="330"/>
      <c r="AX221" s="580" t="s">
        <v>136</v>
      </c>
      <c r="AY221" s="580"/>
      <c r="AZ221" s="580"/>
      <c r="BA221" s="580"/>
    </row>
    <row r="222" spans="2:53" ht="39.6" x14ac:dyDescent="0.25">
      <c r="B222" s="341">
        <v>6</v>
      </c>
      <c r="C222" s="342">
        <v>150.16800000000001</v>
      </c>
      <c r="D222" s="342">
        <v>0</v>
      </c>
      <c r="E222" s="342">
        <v>2.5999999999999999E-2</v>
      </c>
      <c r="F222" s="341">
        <v>6</v>
      </c>
      <c r="V222" s="330"/>
      <c r="W222" s="331" t="s">
        <v>25</v>
      </c>
      <c r="X222" s="333" t="s">
        <v>137</v>
      </c>
      <c r="Y222" s="333" t="s">
        <v>229</v>
      </c>
      <c r="Z222" s="332" t="s">
        <v>26</v>
      </c>
      <c r="AA222" s="330"/>
      <c r="AB222" s="331" t="s">
        <v>25</v>
      </c>
      <c r="AC222" s="333" t="s">
        <v>137</v>
      </c>
      <c r="AD222" s="333" t="s">
        <v>229</v>
      </c>
      <c r="AE222" s="332" t="s">
        <v>26</v>
      </c>
      <c r="AG222" s="330"/>
      <c r="AH222" s="331" t="s">
        <v>25</v>
      </c>
      <c r="AI222" s="333" t="s">
        <v>137</v>
      </c>
      <c r="AJ222" s="333" t="s">
        <v>229</v>
      </c>
      <c r="AK222" s="332" t="s">
        <v>26</v>
      </c>
      <c r="AL222" s="330"/>
      <c r="AM222" s="331" t="s">
        <v>25</v>
      </c>
      <c r="AN222" s="333" t="s">
        <v>137</v>
      </c>
      <c r="AO222" s="333" t="s">
        <v>229</v>
      </c>
      <c r="AP222" s="332" t="s">
        <v>26</v>
      </c>
      <c r="AR222" s="330"/>
      <c r="AS222" s="331" t="s">
        <v>25</v>
      </c>
      <c r="AT222" s="333" t="s">
        <v>137</v>
      </c>
      <c r="AU222" s="333" t="s">
        <v>229</v>
      </c>
      <c r="AV222" s="332" t="s">
        <v>26</v>
      </c>
      <c r="AW222" s="330"/>
      <c r="AX222" s="331" t="s">
        <v>25</v>
      </c>
      <c r="AY222" s="333" t="s">
        <v>138</v>
      </c>
      <c r="AZ222" s="333" t="s">
        <v>104</v>
      </c>
      <c r="BA222" s="332" t="s">
        <v>26</v>
      </c>
    </row>
    <row r="223" spans="2:53" x14ac:dyDescent="0.25">
      <c r="B223" s="341">
        <v>7</v>
      </c>
      <c r="C223" s="342">
        <v>200.14400000000001</v>
      </c>
      <c r="D223" s="342">
        <v>-5.0000000000000001E-3</v>
      </c>
      <c r="E223" s="342">
        <v>2.5999999999999999E-2</v>
      </c>
      <c r="F223" s="341">
        <v>7</v>
      </c>
      <c r="V223" s="330"/>
      <c r="W223" s="334">
        <f>VLOOKUP(X223,W229:Z238,4,FALSE)</f>
        <v>2</v>
      </c>
      <c r="X223" s="335">
        <f>VLOOKUP(X224,W229:Y238,1,TRUE)</f>
        <v>1</v>
      </c>
      <c r="Y223" s="336">
        <f>VLOOKUP(X223,W229:Y238,2,FALSE)</f>
        <v>6.9999999999999994E-5</v>
      </c>
      <c r="Z223" s="336">
        <f>VLOOKUP(X223,W229:Y238,3,FALSE)</f>
        <v>2.5000000000000001E-3</v>
      </c>
      <c r="AA223" s="330"/>
      <c r="AB223" s="334">
        <f>VLOOKUP(AC223,AB229:AE238,4,FALSE)</f>
        <v>2</v>
      </c>
      <c r="AC223" s="335">
        <f>VLOOKUP(AC224,AB229:AE238,1,TRUE)</f>
        <v>1</v>
      </c>
      <c r="AD223" s="336">
        <f>VLOOKUP(AC223,AB229:AE235,2,FALSE)</f>
        <v>6.9999999999999994E-5</v>
      </c>
      <c r="AE223" s="336">
        <f>VLOOKUP(AC223,AB229:AE238,3,FALSE)</f>
        <v>2.5000000000000001E-3</v>
      </c>
      <c r="AG223" s="330"/>
      <c r="AH223" s="334">
        <f>VLOOKUP(AI223,AH229:AK238,4,FALSE)</f>
        <v>2</v>
      </c>
      <c r="AI223" s="335">
        <f>VLOOKUP(AI224,AH229:AJ238,1,TRUE)</f>
        <v>10</v>
      </c>
      <c r="AJ223" s="336">
        <f>VLOOKUP(AI223,AH229:AJ238,2,FALSE)</f>
        <v>0</v>
      </c>
      <c r="AK223" s="336">
        <f>VLOOKUP(AI223,AH229:AJ238,3,FALSE)</f>
        <v>0.2</v>
      </c>
      <c r="AL223" s="330"/>
      <c r="AM223" s="334">
        <f>VLOOKUP(AN223,AM229:AP238,4,FALSE)</f>
        <v>2</v>
      </c>
      <c r="AN223" s="335">
        <f>VLOOKUP(AN224,AM229:AP238,1,TRUE)</f>
        <v>10</v>
      </c>
      <c r="AO223" s="336">
        <f>VLOOKUP(AN223,AM229:AP235,2,FALSE)</f>
        <v>0</v>
      </c>
      <c r="AP223" s="336">
        <f>VLOOKUP(AN223,AM229:AP238,3,FALSE)</f>
        <v>0.2</v>
      </c>
      <c r="AR223" s="330"/>
      <c r="AS223" s="334">
        <f>VLOOKUP(AT223,AS229:AV238,4,FALSE)</f>
        <v>3</v>
      </c>
      <c r="AT223" s="335">
        <f>VLOOKUP(AT224,AS229:AU238,1,TRUE)</f>
        <v>20</v>
      </c>
      <c r="AU223" s="336">
        <f>VLOOKUP(AT223,AS229:AU238,2,FALSE)</f>
        <v>0</v>
      </c>
      <c r="AV223" s="336">
        <f>VLOOKUP(AT223,AS229:AU238,3,FALSE)</f>
        <v>0</v>
      </c>
      <c r="AW223" s="330"/>
      <c r="AX223" s="334">
        <f>VLOOKUP(AY223,AX229:BA238,4,FALSE)</f>
        <v>2</v>
      </c>
      <c r="AY223" s="335">
        <f>VLOOKUP(AY224,AX229:BA238,1,TRUE)</f>
        <v>10</v>
      </c>
      <c r="AZ223" s="336">
        <f>VLOOKUP(AY223,AX229:BA235,2,FALSE)</f>
        <v>0</v>
      </c>
      <c r="BA223" s="336">
        <f>VLOOKUP(AY223,AX229:BA238,3,FALSE)</f>
        <v>0</v>
      </c>
    </row>
    <row r="224" spans="2:53" x14ac:dyDescent="0.25">
      <c r="B224" s="341">
        <v>8</v>
      </c>
      <c r="C224" s="342">
        <v>250.02799999999999</v>
      </c>
      <c r="D224" s="342">
        <v>-1.6E-2</v>
      </c>
      <c r="E224" s="342">
        <v>2.5999999999999999E-2</v>
      </c>
      <c r="F224" s="341">
        <v>8</v>
      </c>
      <c r="V224" s="330"/>
      <c r="W224" s="335"/>
      <c r="X224" s="337">
        <f>[1]Datos!D30</f>
        <v>26.667899999999999</v>
      </c>
      <c r="Y224" s="338">
        <f>(Y225-Y223)/(X225-X223)*(X224-X223)+Y223</f>
        <v>1.0889075757575757E-4</v>
      </c>
      <c r="Z224" s="338">
        <f>(Z225-Z223)/(X225-X223)*(X224-X223)+Z223</f>
        <v>2.5000000000000001E-3</v>
      </c>
      <c r="AA224" s="330"/>
      <c r="AB224" s="335"/>
      <c r="AC224" s="337">
        <f>[1]Datos!E30</f>
        <v>16.693300000000001</v>
      </c>
      <c r="AD224" s="338">
        <f>(AD225-AD223)/(AC225-AC223)*(AC224-AC223)+AD223</f>
        <v>9.3777727272727264E-5</v>
      </c>
      <c r="AE224" s="338">
        <f>(AE225-AE223)/(AC225-AC223)*(AC224-AC223)+AE223</f>
        <v>2.5000000000000001E-3</v>
      </c>
      <c r="AG224" s="330"/>
      <c r="AH224" s="335"/>
      <c r="AI224" s="337">
        <f>X224</f>
        <v>26.667899999999999</v>
      </c>
      <c r="AJ224" s="338">
        <f>(AJ225-AJ223)/(AI225-AI223)*(AI224-AI223)+AJ223</f>
        <v>0</v>
      </c>
      <c r="AK224" s="338">
        <f>(AK225-AK223)/(AI225-AI223)*(AI224-AI223)+AK223</f>
        <v>0.2</v>
      </c>
      <c r="AL224" s="330"/>
      <c r="AM224" s="335"/>
      <c r="AN224" s="337">
        <f>AC224</f>
        <v>16.693300000000001</v>
      </c>
      <c r="AO224" s="338">
        <f>(AO225-AO223)/(AN225-AN223)*(AN224-AN223)+AO223</f>
        <v>0</v>
      </c>
      <c r="AP224" s="338">
        <f>(AP225-AP223)/(AN225-AN223)*(AN224-AN223)+AP223</f>
        <v>0.2</v>
      </c>
      <c r="AR224" s="330"/>
      <c r="AS224" s="335"/>
      <c r="AT224" s="337">
        <f>AI224</f>
        <v>26.667899999999999</v>
      </c>
      <c r="AU224" s="338">
        <f>(AU225-AU223)/(AT225-AT223)*(AT224-AT223)+AU223</f>
        <v>0</v>
      </c>
      <c r="AV224" s="338">
        <f>(AV225-AV223)/(AT225-AT223)*(AT224-AT223)+AV223</f>
        <v>0</v>
      </c>
      <c r="AW224" s="330"/>
      <c r="AX224" s="335"/>
      <c r="AY224" s="337">
        <f>AN224</f>
        <v>16.693300000000001</v>
      </c>
      <c r="AZ224" s="338">
        <f>(AZ225-AZ223)/(AY225-AY223)*(AY224-AY223)+AZ223</f>
        <v>0</v>
      </c>
      <c r="BA224" s="338">
        <f>(BA225-BA223)/(AY225-AY223)*(AY224-AY223)+BA223</f>
        <v>0</v>
      </c>
    </row>
    <row r="225" spans="22:53" x14ac:dyDescent="0.25">
      <c r="V225" s="330"/>
      <c r="W225" s="334">
        <f>W223+1</f>
        <v>3</v>
      </c>
      <c r="X225" s="335">
        <f>VLOOKUP(W223+1,V229:Y238,2,FALSE)</f>
        <v>100</v>
      </c>
      <c r="Y225" s="336">
        <f>VLOOKUP(X225,W229:Y238,2,FALSE)</f>
        <v>2.2000000000000001E-4</v>
      </c>
      <c r="Z225" s="336">
        <f>VLOOKUP(X225,W229:Y238,3,FALSE)</f>
        <v>2.5000000000000001E-3</v>
      </c>
      <c r="AA225" s="330"/>
      <c r="AB225" s="334">
        <f>AB223+1</f>
        <v>3</v>
      </c>
      <c r="AC225" s="335">
        <f>VLOOKUP(AB223+1,AA229:AE238,2,FALSE)</f>
        <v>100</v>
      </c>
      <c r="AD225" s="336">
        <f>VLOOKUP(AC225,AB229:AE238,2,FALSE)</f>
        <v>2.2000000000000001E-4</v>
      </c>
      <c r="AE225" s="336">
        <f>VLOOKUP(AC225,AB229:AE238,3,FALSE)</f>
        <v>2.5000000000000001E-3</v>
      </c>
      <c r="AG225" s="330"/>
      <c r="AH225" s="334">
        <f>AH223+1</f>
        <v>3</v>
      </c>
      <c r="AI225" s="335">
        <f>VLOOKUP(AH223+1,AG229:AJ238,2,FALSE)</f>
        <v>5000</v>
      </c>
      <c r="AJ225" s="336">
        <f>VLOOKUP(AI225,AH229:AJ238,2,FALSE)</f>
        <v>0</v>
      </c>
      <c r="AK225" s="336">
        <f>VLOOKUP(AI225,AH229:AJ238,3,FALSE)</f>
        <v>0.2</v>
      </c>
      <c r="AL225" s="330"/>
      <c r="AM225" s="334">
        <f>AM223+1</f>
        <v>3</v>
      </c>
      <c r="AN225" s="335">
        <f>VLOOKUP(AM223+1,AL229:AP238,2,FALSE)</f>
        <v>5000</v>
      </c>
      <c r="AO225" s="336">
        <f>VLOOKUP(AN225,AM229:AP238,2,FALSE)</f>
        <v>0</v>
      </c>
      <c r="AP225" s="336">
        <f>VLOOKUP(AN225,AM229:AP238,3,FALSE)</f>
        <v>0.2</v>
      </c>
      <c r="AR225" s="330"/>
      <c r="AS225" s="334">
        <f>AS223+1</f>
        <v>4</v>
      </c>
      <c r="AT225" s="335">
        <f>VLOOKUP(AS223+1,AR229:AU238,2,FALSE)</f>
        <v>50</v>
      </c>
      <c r="AU225" s="336">
        <f>VLOOKUP(AT225,AS229:AU238,2,FALSE)</f>
        <v>0</v>
      </c>
      <c r="AV225" s="336">
        <f>VLOOKUP(AT225,AS229:AU238,3,FALSE)</f>
        <v>0</v>
      </c>
      <c r="AW225" s="330"/>
      <c r="AX225" s="334">
        <f>AX223+1</f>
        <v>3</v>
      </c>
      <c r="AY225" s="335">
        <f>VLOOKUP(AX223+1,AW229:BA238,2,FALSE)</f>
        <v>20</v>
      </c>
      <c r="AZ225" s="336">
        <f>VLOOKUP(AY225,AX229:BA238,2,FALSE)</f>
        <v>0</v>
      </c>
      <c r="BA225" s="336">
        <f>VLOOKUP(AY225,AX229:BA238,3,FALSE)</f>
        <v>0</v>
      </c>
    </row>
    <row r="226" spans="22:53" x14ac:dyDescent="0.25"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G226" s="330"/>
      <c r="AH226" s="330"/>
      <c r="AI226" s="330"/>
      <c r="AJ226" s="330"/>
      <c r="AK226" s="330"/>
      <c r="AL226" s="330"/>
      <c r="AM226" s="330"/>
      <c r="AN226" s="330"/>
      <c r="AO226" s="330"/>
      <c r="AP226" s="330"/>
      <c r="AR226" s="330"/>
      <c r="AS226" s="330"/>
      <c r="AT226" s="330"/>
      <c r="AU226" s="330"/>
      <c r="AV226" s="330"/>
      <c r="AW226" s="330"/>
      <c r="AX226" s="330"/>
      <c r="AY226" s="330"/>
      <c r="AZ226" s="330"/>
      <c r="BA226" s="330"/>
    </row>
    <row r="227" spans="22:53" ht="26.4" x14ac:dyDescent="0.3">
      <c r="V227" s="330"/>
      <c r="W227" s="333" t="s">
        <v>139</v>
      </c>
      <c r="X227" s="333" t="s">
        <v>229</v>
      </c>
      <c r="Y227" s="333" t="s">
        <v>14</v>
      </c>
      <c r="Z227" s="339"/>
      <c r="AA227" s="339"/>
      <c r="AB227" s="333" t="s">
        <v>139</v>
      </c>
      <c r="AC227" s="333" t="s">
        <v>229</v>
      </c>
      <c r="AD227" s="333" t="s">
        <v>14</v>
      </c>
      <c r="AE227" s="339"/>
      <c r="AG227" s="330"/>
      <c r="AH227" s="333" t="s">
        <v>139</v>
      </c>
      <c r="AI227" s="333" t="s">
        <v>228</v>
      </c>
      <c r="AJ227" s="333" t="s">
        <v>14</v>
      </c>
      <c r="AK227" s="339"/>
      <c r="AL227" s="339"/>
      <c r="AM227" s="333" t="s">
        <v>139</v>
      </c>
      <c r="AN227" s="333" t="s">
        <v>228</v>
      </c>
      <c r="AO227" s="333" t="s">
        <v>14</v>
      </c>
      <c r="AP227" s="339"/>
      <c r="AR227" s="330"/>
      <c r="AS227" s="333" t="s">
        <v>139</v>
      </c>
      <c r="AT227" s="333" t="s">
        <v>228</v>
      </c>
      <c r="AU227" s="333" t="s">
        <v>14</v>
      </c>
      <c r="AV227" s="339"/>
      <c r="AW227" s="339"/>
      <c r="AX227" s="333" t="s">
        <v>139</v>
      </c>
      <c r="AY227" s="333" t="s">
        <v>228</v>
      </c>
      <c r="AZ227" s="333" t="s">
        <v>14</v>
      </c>
      <c r="BA227" s="339"/>
    </row>
    <row r="228" spans="22:53" ht="12.75" customHeight="1" x14ac:dyDescent="0.25">
      <c r="V228" s="340"/>
      <c r="W228" s="333" t="s">
        <v>91</v>
      </c>
      <c r="X228" s="333" t="s">
        <v>91</v>
      </c>
      <c r="Y228" s="333" t="s">
        <v>91</v>
      </c>
      <c r="Z228" s="340"/>
      <c r="AA228" s="340"/>
      <c r="AB228" s="333" t="s">
        <v>91</v>
      </c>
      <c r="AC228" s="333" t="s">
        <v>91</v>
      </c>
      <c r="AD228" s="333" t="s">
        <v>91</v>
      </c>
      <c r="AE228" s="340"/>
      <c r="AG228" s="340"/>
      <c r="AH228" s="333" t="s">
        <v>91</v>
      </c>
      <c r="AI228" s="333" t="s">
        <v>91</v>
      </c>
      <c r="AJ228" s="333" t="s">
        <v>91</v>
      </c>
      <c r="AK228" s="340"/>
      <c r="AL228" s="340"/>
      <c r="AM228" s="333" t="s">
        <v>91</v>
      </c>
      <c r="AN228" s="333" t="s">
        <v>91</v>
      </c>
      <c r="AO228" s="333" t="s">
        <v>91</v>
      </c>
      <c r="AP228" s="340"/>
      <c r="AR228" s="340"/>
      <c r="AS228" s="333" t="s">
        <v>91</v>
      </c>
      <c r="AT228" s="333" t="s">
        <v>91</v>
      </c>
      <c r="AU228" s="333" t="s">
        <v>91</v>
      </c>
      <c r="AV228" s="340"/>
      <c r="AW228" s="340"/>
      <c r="AX228" s="333" t="s">
        <v>91</v>
      </c>
      <c r="AY228" s="333" t="s">
        <v>91</v>
      </c>
      <c r="AZ228" s="333" t="s">
        <v>91</v>
      </c>
      <c r="BA228" s="340"/>
    </row>
    <row r="229" spans="22:53" ht="12.75" customHeight="1" x14ac:dyDescent="0.25">
      <c r="V229" s="341">
        <v>1</v>
      </c>
      <c r="W229" s="344">
        <v>0</v>
      </c>
      <c r="X229" s="344">
        <v>0</v>
      </c>
      <c r="Y229" s="345">
        <v>1.6000000000000001E-4</v>
      </c>
      <c r="Z229" s="341">
        <v>1</v>
      </c>
      <c r="AA229" s="341">
        <v>1</v>
      </c>
      <c r="AB229" s="344">
        <v>0</v>
      </c>
      <c r="AC229" s="344">
        <v>0</v>
      </c>
      <c r="AD229" s="345">
        <v>1.6000000000000001E-4</v>
      </c>
      <c r="AE229" s="341">
        <v>1</v>
      </c>
      <c r="AG229" s="341">
        <v>1</v>
      </c>
      <c r="AH229" s="346">
        <v>0</v>
      </c>
      <c r="AI229" s="347">
        <v>0</v>
      </c>
      <c r="AJ229" s="342">
        <v>0.05</v>
      </c>
      <c r="AK229" s="341">
        <v>1</v>
      </c>
      <c r="AL229" s="341">
        <v>1</v>
      </c>
      <c r="AM229" s="346">
        <v>0</v>
      </c>
      <c r="AN229" s="347">
        <v>0</v>
      </c>
      <c r="AO229" s="342">
        <v>0.05</v>
      </c>
      <c r="AP229" s="341">
        <v>1</v>
      </c>
      <c r="AR229" s="341">
        <v>1</v>
      </c>
      <c r="AS229" s="342">
        <v>0</v>
      </c>
      <c r="AT229" s="342"/>
      <c r="AU229" s="342"/>
      <c r="AV229" s="341">
        <v>1</v>
      </c>
      <c r="AW229" s="341">
        <v>1</v>
      </c>
      <c r="AX229" s="342">
        <v>0</v>
      </c>
      <c r="AY229" s="342"/>
      <c r="AZ229" s="342"/>
      <c r="BA229" s="341">
        <v>1</v>
      </c>
    </row>
    <row r="230" spans="22:53" x14ac:dyDescent="0.25">
      <c r="V230" s="341">
        <v>2</v>
      </c>
      <c r="W230" s="344">
        <v>1</v>
      </c>
      <c r="X230" s="344">
        <v>6.9999999999999994E-5</v>
      </c>
      <c r="Y230" s="345">
        <v>2.5000000000000001E-3</v>
      </c>
      <c r="Z230" s="341">
        <v>2</v>
      </c>
      <c r="AA230" s="341">
        <v>2</v>
      </c>
      <c r="AB230" s="344">
        <v>1</v>
      </c>
      <c r="AC230" s="344">
        <v>6.9999999999999994E-5</v>
      </c>
      <c r="AD230" s="345">
        <v>2.5000000000000001E-3</v>
      </c>
      <c r="AE230" s="341">
        <v>2</v>
      </c>
      <c r="AG230" s="341">
        <v>2</v>
      </c>
      <c r="AH230" s="346">
        <v>10</v>
      </c>
      <c r="AI230" s="347">
        <v>0</v>
      </c>
      <c r="AJ230" s="342">
        <v>0.2</v>
      </c>
      <c r="AK230" s="341">
        <v>2</v>
      </c>
      <c r="AL230" s="341">
        <v>2</v>
      </c>
      <c r="AM230" s="346">
        <v>10</v>
      </c>
      <c r="AN230" s="347">
        <v>0</v>
      </c>
      <c r="AO230" s="342">
        <v>0.2</v>
      </c>
      <c r="AP230" s="341">
        <v>2</v>
      </c>
      <c r="AR230" s="341">
        <v>2</v>
      </c>
      <c r="AS230" s="342">
        <v>10</v>
      </c>
      <c r="AT230" s="342"/>
      <c r="AU230" s="342"/>
      <c r="AV230" s="341">
        <v>2</v>
      </c>
      <c r="AW230" s="341">
        <v>2</v>
      </c>
      <c r="AX230" s="342">
        <v>10</v>
      </c>
      <c r="AY230" s="342"/>
      <c r="AZ230" s="342"/>
      <c r="BA230" s="341">
        <v>2</v>
      </c>
    </row>
    <row r="231" spans="22:53" x14ac:dyDescent="0.25">
      <c r="V231" s="341">
        <v>3</v>
      </c>
      <c r="W231" s="344">
        <v>100</v>
      </c>
      <c r="X231" s="344">
        <v>2.2000000000000001E-4</v>
      </c>
      <c r="Y231" s="345">
        <v>2.5000000000000001E-3</v>
      </c>
      <c r="Z231" s="341">
        <v>3</v>
      </c>
      <c r="AA231" s="341">
        <v>3</v>
      </c>
      <c r="AB231" s="344">
        <v>100</v>
      </c>
      <c r="AC231" s="344">
        <v>2.2000000000000001E-4</v>
      </c>
      <c r="AD231" s="345">
        <v>2.5000000000000001E-3</v>
      </c>
      <c r="AE231" s="341">
        <v>3</v>
      </c>
      <c r="AG231" s="341">
        <v>3</v>
      </c>
      <c r="AH231" s="346">
        <v>5000</v>
      </c>
      <c r="AI231" s="347">
        <v>0</v>
      </c>
      <c r="AJ231" s="342">
        <v>0.2</v>
      </c>
      <c r="AK231" s="341">
        <v>3</v>
      </c>
      <c r="AL231" s="341">
        <v>3</v>
      </c>
      <c r="AM231" s="346">
        <v>5000</v>
      </c>
      <c r="AN231" s="347">
        <v>0</v>
      </c>
      <c r="AO231" s="342">
        <v>0.2</v>
      </c>
      <c r="AP231" s="341">
        <v>3</v>
      </c>
      <c r="AR231" s="341">
        <v>3</v>
      </c>
      <c r="AS231" s="342">
        <v>20</v>
      </c>
      <c r="AT231" s="342"/>
      <c r="AU231" s="342"/>
      <c r="AV231" s="341">
        <v>3</v>
      </c>
      <c r="AW231" s="341">
        <v>3</v>
      </c>
      <c r="AX231" s="342">
        <v>20</v>
      </c>
      <c r="AY231" s="342"/>
      <c r="AZ231" s="342"/>
      <c r="BA231" s="341">
        <v>3</v>
      </c>
    </row>
    <row r="232" spans="22:53" x14ac:dyDescent="0.25">
      <c r="V232" s="341">
        <v>4</v>
      </c>
      <c r="W232" s="344">
        <v>200</v>
      </c>
      <c r="X232" s="344">
        <v>1.7000000000000001E-4</v>
      </c>
      <c r="Y232" s="345">
        <v>2.5000000000000001E-3</v>
      </c>
      <c r="Z232" s="341">
        <v>4</v>
      </c>
      <c r="AA232" s="341">
        <v>4</v>
      </c>
      <c r="AB232" s="344">
        <v>200</v>
      </c>
      <c r="AC232" s="344">
        <v>1.7000000000000001E-4</v>
      </c>
      <c r="AD232" s="345">
        <v>2.5000000000000001E-3</v>
      </c>
      <c r="AE232" s="341">
        <v>4</v>
      </c>
      <c r="AG232" s="341">
        <v>4</v>
      </c>
      <c r="AH232" s="346">
        <v>10000</v>
      </c>
      <c r="AI232" s="347">
        <v>0</v>
      </c>
      <c r="AJ232" s="342">
        <v>0.2</v>
      </c>
      <c r="AK232" s="341">
        <v>4</v>
      </c>
      <c r="AL232" s="341">
        <v>4</v>
      </c>
      <c r="AM232" s="346">
        <v>10000</v>
      </c>
      <c r="AN232" s="347">
        <v>0</v>
      </c>
      <c r="AO232" s="342">
        <v>0.2</v>
      </c>
      <c r="AP232" s="341">
        <v>4</v>
      </c>
      <c r="AR232" s="341">
        <v>4</v>
      </c>
      <c r="AS232" s="342">
        <v>50</v>
      </c>
      <c r="AT232" s="342"/>
      <c r="AU232" s="342"/>
      <c r="AV232" s="341">
        <v>4</v>
      </c>
      <c r="AW232" s="341">
        <v>4</v>
      </c>
      <c r="AX232" s="342">
        <v>50</v>
      </c>
      <c r="AY232" s="342"/>
      <c r="AZ232" s="342"/>
      <c r="BA232" s="341">
        <v>4</v>
      </c>
    </row>
    <row r="233" spans="22:53" x14ac:dyDescent="0.25">
      <c r="V233" s="341">
        <v>5</v>
      </c>
      <c r="W233" s="344">
        <v>300</v>
      </c>
      <c r="X233" s="344">
        <v>2.4000000000000001E-4</v>
      </c>
      <c r="Y233" s="345">
        <v>2.5000000000000001E-3</v>
      </c>
      <c r="Z233" s="341">
        <v>5</v>
      </c>
      <c r="AA233" s="341">
        <v>5</v>
      </c>
      <c r="AB233" s="344">
        <v>300</v>
      </c>
      <c r="AC233" s="344">
        <v>2.4000000000000001E-4</v>
      </c>
      <c r="AD233" s="345">
        <v>2.5000000000000001E-3</v>
      </c>
      <c r="AE233" s="341">
        <v>5</v>
      </c>
      <c r="AG233" s="341">
        <v>5</v>
      </c>
      <c r="AH233" s="346">
        <v>20000</v>
      </c>
      <c r="AI233" s="347">
        <v>0</v>
      </c>
      <c r="AJ233" s="342">
        <v>0.2</v>
      </c>
      <c r="AK233" s="341">
        <v>5</v>
      </c>
      <c r="AL233" s="341">
        <v>5</v>
      </c>
      <c r="AM233" s="346">
        <v>20000</v>
      </c>
      <c r="AN233" s="347">
        <v>0</v>
      </c>
      <c r="AO233" s="342">
        <v>0.2</v>
      </c>
      <c r="AP233" s="341">
        <v>5</v>
      </c>
      <c r="AR233" s="341">
        <v>5</v>
      </c>
      <c r="AS233" s="342">
        <v>70</v>
      </c>
      <c r="AT233" s="342"/>
      <c r="AU233" s="342"/>
      <c r="AV233" s="341">
        <v>5</v>
      </c>
      <c r="AW233" s="341">
        <v>5</v>
      </c>
      <c r="AX233" s="342">
        <v>70</v>
      </c>
      <c r="AY233" s="342"/>
      <c r="AZ233" s="342"/>
      <c r="BA233" s="341">
        <v>5</v>
      </c>
    </row>
    <row r="234" spans="22:53" x14ac:dyDescent="0.25">
      <c r="V234" s="341">
        <v>6</v>
      </c>
      <c r="W234" s="344">
        <v>400</v>
      </c>
      <c r="X234" s="344">
        <v>1.6000000000000001E-4</v>
      </c>
      <c r="Y234" s="345">
        <v>2.5000000000000001E-3</v>
      </c>
      <c r="Z234" s="341">
        <v>6</v>
      </c>
      <c r="AA234" s="341">
        <v>6</v>
      </c>
      <c r="AB234" s="344">
        <v>400</v>
      </c>
      <c r="AC234" s="344">
        <v>1.6000000000000001E-4</v>
      </c>
      <c r="AD234" s="345">
        <v>2.5000000000000001E-3</v>
      </c>
      <c r="AE234" s="341">
        <v>6</v>
      </c>
      <c r="AG234" s="341">
        <v>6</v>
      </c>
      <c r="AH234" s="346">
        <v>32000</v>
      </c>
      <c r="AI234" s="347">
        <v>0</v>
      </c>
      <c r="AJ234" s="342">
        <v>0.2</v>
      </c>
      <c r="AK234" s="341">
        <v>6</v>
      </c>
      <c r="AL234" s="341">
        <v>6</v>
      </c>
      <c r="AM234" s="346">
        <v>32000</v>
      </c>
      <c r="AN234" s="347">
        <v>0</v>
      </c>
      <c r="AO234" s="342">
        <v>0.2</v>
      </c>
      <c r="AP234" s="341">
        <v>6</v>
      </c>
      <c r="AR234" s="341">
        <v>6</v>
      </c>
      <c r="AS234" s="342">
        <v>200</v>
      </c>
      <c r="AT234" s="342"/>
      <c r="AU234" s="342"/>
      <c r="AV234" s="341">
        <v>6</v>
      </c>
      <c r="AW234" s="341">
        <v>6</v>
      </c>
      <c r="AX234" s="342">
        <v>200</v>
      </c>
      <c r="AY234" s="342"/>
      <c r="AZ234" s="342"/>
      <c r="BA234" s="341">
        <v>6</v>
      </c>
    </row>
    <row r="235" spans="22:53" x14ac:dyDescent="0.25">
      <c r="V235" s="341">
        <v>7</v>
      </c>
      <c r="W235" s="344">
        <v>500</v>
      </c>
      <c r="X235" s="344">
        <v>-1.9000000000000001E-4</v>
      </c>
      <c r="Y235" s="345">
        <v>2.5000000000000001E-3</v>
      </c>
      <c r="Z235" s="341">
        <v>7</v>
      </c>
      <c r="AA235" s="341">
        <v>7</v>
      </c>
      <c r="AB235" s="344">
        <v>500</v>
      </c>
      <c r="AC235" s="344">
        <v>-1.9000000000000001E-4</v>
      </c>
      <c r="AD235" s="345">
        <v>2.5000000000000001E-3</v>
      </c>
      <c r="AE235" s="341">
        <v>7</v>
      </c>
      <c r="AG235" s="341">
        <v>7</v>
      </c>
      <c r="AH235" s="346"/>
      <c r="AI235" s="347"/>
      <c r="AJ235" s="342"/>
      <c r="AK235" s="341">
        <v>7</v>
      </c>
      <c r="AL235" s="341">
        <v>7</v>
      </c>
      <c r="AM235" s="346"/>
      <c r="AN235" s="347"/>
      <c r="AO235" s="342"/>
      <c r="AP235" s="341">
        <v>7</v>
      </c>
      <c r="AR235" s="341">
        <v>7</v>
      </c>
      <c r="AS235" s="342">
        <v>500</v>
      </c>
      <c r="AT235" s="342"/>
      <c r="AU235" s="342"/>
      <c r="AV235" s="341">
        <v>7</v>
      </c>
      <c r="AW235" s="341">
        <v>7</v>
      </c>
      <c r="AX235" s="342">
        <v>500</v>
      </c>
      <c r="AY235" s="342"/>
      <c r="AZ235" s="342"/>
      <c r="BA235" s="341">
        <v>7</v>
      </c>
    </row>
    <row r="236" spans="22:53" x14ac:dyDescent="0.25">
      <c r="V236" s="341">
        <v>8</v>
      </c>
      <c r="W236" s="342"/>
      <c r="X236" s="342"/>
      <c r="Y236" s="342"/>
      <c r="Z236" s="341">
        <v>8</v>
      </c>
      <c r="AA236" s="341">
        <v>8</v>
      </c>
      <c r="AB236" s="342"/>
      <c r="AC236" s="342"/>
      <c r="AD236" s="342"/>
      <c r="AE236" s="341">
        <v>8</v>
      </c>
      <c r="AG236" s="341">
        <v>8</v>
      </c>
      <c r="AH236" s="342"/>
      <c r="AI236" s="342"/>
      <c r="AJ236" s="342"/>
      <c r="AK236" s="341">
        <v>8</v>
      </c>
      <c r="AL236" s="341">
        <v>8</v>
      </c>
      <c r="AM236" s="342"/>
      <c r="AN236" s="342"/>
      <c r="AO236" s="342"/>
      <c r="AP236" s="341">
        <v>8</v>
      </c>
      <c r="AR236" s="341">
        <v>8</v>
      </c>
      <c r="AS236" s="342">
        <v>700</v>
      </c>
      <c r="AT236" s="342"/>
      <c r="AU236" s="342"/>
      <c r="AV236" s="341">
        <v>8</v>
      </c>
      <c r="AW236" s="341">
        <v>8</v>
      </c>
      <c r="AX236" s="342">
        <v>700</v>
      </c>
      <c r="AY236" s="342"/>
      <c r="AZ236" s="342"/>
      <c r="BA236" s="341">
        <v>8</v>
      </c>
    </row>
    <row r="237" spans="22:53" x14ac:dyDescent="0.25">
      <c r="V237" s="341">
        <v>9</v>
      </c>
      <c r="W237" s="342"/>
      <c r="X237" s="342"/>
      <c r="Y237" s="342"/>
      <c r="Z237" s="341">
        <v>9</v>
      </c>
      <c r="AA237" s="341">
        <v>9</v>
      </c>
      <c r="AB237" s="342"/>
      <c r="AC237" s="342"/>
      <c r="AD237" s="342"/>
      <c r="AE237" s="341">
        <v>9</v>
      </c>
      <c r="AG237" s="341">
        <v>9</v>
      </c>
      <c r="AH237" s="342"/>
      <c r="AI237" s="342"/>
      <c r="AJ237" s="342"/>
      <c r="AK237" s="341">
        <v>9</v>
      </c>
      <c r="AL237" s="341">
        <v>9</v>
      </c>
      <c r="AM237" s="342"/>
      <c r="AN237" s="342"/>
      <c r="AO237" s="342"/>
      <c r="AP237" s="341">
        <v>9</v>
      </c>
      <c r="AR237" s="341">
        <v>9</v>
      </c>
      <c r="AS237" s="342">
        <v>1000</v>
      </c>
      <c r="AT237" s="342"/>
      <c r="AU237" s="342"/>
      <c r="AV237" s="341">
        <v>9</v>
      </c>
      <c r="AW237" s="341">
        <v>9</v>
      </c>
      <c r="AX237" s="342">
        <v>1000</v>
      </c>
      <c r="AY237" s="342"/>
      <c r="AZ237" s="342"/>
      <c r="BA237" s="341">
        <v>9</v>
      </c>
    </row>
    <row r="238" spans="22:53" x14ac:dyDescent="0.25">
      <c r="V238" s="341">
        <v>10</v>
      </c>
      <c r="W238" s="342"/>
      <c r="X238" s="342"/>
      <c r="Y238" s="342"/>
      <c r="Z238" s="341">
        <v>10</v>
      </c>
      <c r="AA238" s="341">
        <v>10</v>
      </c>
      <c r="AB238" s="342"/>
      <c r="AC238" s="342"/>
      <c r="AD238" s="342"/>
      <c r="AE238" s="341">
        <v>10</v>
      </c>
      <c r="AG238" s="341">
        <v>10</v>
      </c>
      <c r="AH238" s="342"/>
      <c r="AI238" s="342"/>
      <c r="AJ238" s="342"/>
      <c r="AK238" s="341">
        <v>10</v>
      </c>
      <c r="AL238" s="341">
        <v>10</v>
      </c>
      <c r="AM238" s="342"/>
      <c r="AN238" s="342"/>
      <c r="AO238" s="342"/>
      <c r="AP238" s="341">
        <v>10</v>
      </c>
      <c r="AR238" s="341">
        <v>10</v>
      </c>
      <c r="AS238" s="342">
        <v>1500</v>
      </c>
      <c r="AT238" s="342"/>
      <c r="AU238" s="342"/>
      <c r="AV238" s="341">
        <v>10</v>
      </c>
      <c r="AW238" s="341">
        <v>10</v>
      </c>
      <c r="AX238" s="342">
        <v>1500</v>
      </c>
      <c r="AY238" s="342"/>
      <c r="AZ238" s="342"/>
      <c r="BA238" s="341">
        <v>10</v>
      </c>
    </row>
    <row r="241" spans="1:32" ht="13.2" customHeight="1" x14ac:dyDescent="0.25">
      <c r="B241" s="579" t="s">
        <v>135</v>
      </c>
      <c r="C241" s="579"/>
      <c r="D241" s="579"/>
      <c r="E241" s="579"/>
      <c r="F241" s="579"/>
      <c r="G241" s="579"/>
      <c r="H241" s="579"/>
      <c r="I241" s="579"/>
      <c r="J241" s="579"/>
      <c r="M241" s="579" t="s">
        <v>135</v>
      </c>
      <c r="N241" s="579"/>
      <c r="O241" s="579"/>
      <c r="P241" s="579"/>
      <c r="Q241" s="579"/>
      <c r="R241" s="579"/>
      <c r="S241" s="579"/>
      <c r="T241" s="579"/>
      <c r="U241" s="579"/>
      <c r="X241" s="579" t="s">
        <v>135</v>
      </c>
      <c r="Y241" s="579"/>
      <c r="Z241" s="579"/>
      <c r="AA241" s="579"/>
      <c r="AB241" s="579"/>
      <c r="AC241" s="579"/>
      <c r="AD241" s="579"/>
      <c r="AE241" s="579"/>
      <c r="AF241" s="579"/>
    </row>
    <row r="242" spans="1:32" ht="13.2" customHeight="1" x14ac:dyDescent="0.25">
      <c r="B242" s="579"/>
      <c r="C242" s="579"/>
      <c r="D242" s="579"/>
      <c r="E242" s="579"/>
      <c r="F242" s="579"/>
      <c r="G242" s="579"/>
      <c r="H242" s="579"/>
      <c r="I242" s="579"/>
      <c r="J242" s="579"/>
      <c r="M242" s="579"/>
      <c r="N242" s="579"/>
      <c r="O242" s="579"/>
      <c r="P242" s="579"/>
      <c r="Q242" s="579"/>
      <c r="R242" s="579"/>
      <c r="S242" s="579"/>
      <c r="T242" s="579"/>
      <c r="U242" s="579"/>
      <c r="X242" s="579"/>
      <c r="Y242" s="579"/>
      <c r="Z242" s="579"/>
      <c r="AA242" s="579"/>
      <c r="AB242" s="579"/>
      <c r="AC242" s="579"/>
      <c r="AD242" s="579"/>
      <c r="AE242" s="579"/>
      <c r="AF242" s="579"/>
    </row>
    <row r="243" spans="1:32" ht="15.6" x14ac:dyDescent="0.3">
      <c r="A243" s="330"/>
      <c r="B243" s="580" t="s">
        <v>92</v>
      </c>
      <c r="C243" s="580"/>
      <c r="D243" s="580"/>
      <c r="E243" s="580"/>
      <c r="F243" s="330"/>
      <c r="G243" s="580" t="s">
        <v>136</v>
      </c>
      <c r="H243" s="580"/>
      <c r="I243" s="580"/>
      <c r="J243" s="580"/>
      <c r="L243" s="330"/>
      <c r="M243" s="580" t="s">
        <v>92</v>
      </c>
      <c r="N243" s="580"/>
      <c r="O243" s="580"/>
      <c r="P243" s="580"/>
      <c r="Q243" s="330"/>
      <c r="R243" s="580" t="s">
        <v>136</v>
      </c>
      <c r="S243" s="580"/>
      <c r="T243" s="580"/>
      <c r="U243" s="580"/>
      <c r="W243" s="330"/>
      <c r="X243" s="580" t="s">
        <v>92</v>
      </c>
      <c r="Y243" s="580"/>
      <c r="Z243" s="580"/>
      <c r="AA243" s="580"/>
      <c r="AB243" s="330"/>
      <c r="AC243" s="580" t="s">
        <v>136</v>
      </c>
      <c r="AD243" s="580"/>
      <c r="AE243" s="580"/>
      <c r="AF243" s="580"/>
    </row>
    <row r="244" spans="1:32" ht="39.6" x14ac:dyDescent="0.25">
      <c r="A244" s="330"/>
      <c r="B244" s="331" t="s">
        <v>25</v>
      </c>
      <c r="C244" s="333" t="s">
        <v>137</v>
      </c>
      <c r="D244" s="333" t="s">
        <v>104</v>
      </c>
      <c r="E244" s="332" t="s">
        <v>26</v>
      </c>
      <c r="F244" s="330"/>
      <c r="G244" s="331" t="s">
        <v>25</v>
      </c>
      <c r="H244" s="333" t="s">
        <v>138</v>
      </c>
      <c r="I244" s="333" t="s">
        <v>104</v>
      </c>
      <c r="J244" s="332" t="s">
        <v>26</v>
      </c>
      <c r="L244" s="330"/>
      <c r="M244" s="331" t="s">
        <v>25</v>
      </c>
      <c r="N244" s="333" t="s">
        <v>137</v>
      </c>
      <c r="O244" s="333" t="s">
        <v>104</v>
      </c>
      <c r="P244" s="332" t="s">
        <v>26</v>
      </c>
      <c r="Q244" s="330"/>
      <c r="R244" s="331" t="s">
        <v>25</v>
      </c>
      <c r="S244" s="333" t="s">
        <v>138</v>
      </c>
      <c r="T244" s="333" t="s">
        <v>104</v>
      </c>
      <c r="U244" s="332" t="s">
        <v>26</v>
      </c>
      <c r="W244" s="330"/>
      <c r="X244" s="331" t="s">
        <v>25</v>
      </c>
      <c r="Y244" s="333" t="s">
        <v>137</v>
      </c>
      <c r="Z244" s="333" t="s">
        <v>104</v>
      </c>
      <c r="AA244" s="332" t="s">
        <v>26</v>
      </c>
      <c r="AB244" s="330"/>
      <c r="AC244" s="331" t="s">
        <v>25</v>
      </c>
      <c r="AD244" s="333" t="s">
        <v>138</v>
      </c>
      <c r="AE244" s="333" t="s">
        <v>104</v>
      </c>
      <c r="AF244" s="332" t="s">
        <v>26</v>
      </c>
    </row>
    <row r="245" spans="1:32" x14ac:dyDescent="0.25">
      <c r="A245" s="330"/>
      <c r="B245" s="334">
        <f>VLOOKUP(C245,B251:E260,4,FALSE)</f>
        <v>1</v>
      </c>
      <c r="C245" s="335">
        <f>VLOOKUP(C246,B251:D260,1,TRUE)</f>
        <v>0</v>
      </c>
      <c r="D245" s="336">
        <f>VLOOKUP(C245,B251:D260,2,FALSE)</f>
        <v>0</v>
      </c>
      <c r="E245" s="336">
        <f>VLOOKUP(C245,B251:D260,3,FALSE)</f>
        <v>1.6000000000000001E-4</v>
      </c>
      <c r="F245" s="330"/>
      <c r="G245" s="334">
        <f>VLOOKUP(H245,G251:J260,4,FALSE)</f>
        <v>1</v>
      </c>
      <c r="H245" s="335">
        <f>VLOOKUP(H246,G251:J260,1,TRUE)</f>
        <v>0</v>
      </c>
      <c r="I245" s="336">
        <f>VLOOKUP(H245,G251:J257,2,FALSE)</f>
        <v>0</v>
      </c>
      <c r="J245" s="336">
        <f>VLOOKUP(H245,G251:J260,3,FALSE)</f>
        <v>0</v>
      </c>
      <c r="L245" s="330"/>
      <c r="M245" s="334">
        <f>VLOOKUP(N245,M251:P260,4,FALSE)</f>
        <v>1</v>
      </c>
      <c r="N245" s="335">
        <f>VLOOKUP(N246,M251:O260,1,TRUE)</f>
        <v>0</v>
      </c>
      <c r="O245" s="336">
        <f>VLOOKUP(N245,M251:O260,2,FALSE)</f>
        <v>0</v>
      </c>
      <c r="P245" s="336">
        <f>VLOOKUP(N245,M251:O260,3,FALSE)</f>
        <v>0.05</v>
      </c>
      <c r="Q245" s="330"/>
      <c r="R245" s="334">
        <f>VLOOKUP(S245,R251:U260,4,FALSE)</f>
        <v>1</v>
      </c>
      <c r="S245" s="335">
        <f>VLOOKUP(S246,R251:U260,1,TRUE)</f>
        <v>0</v>
      </c>
      <c r="T245" s="336">
        <f>VLOOKUP(S245,R251:U257,2,FALSE)</f>
        <v>0</v>
      </c>
      <c r="U245" s="336">
        <f>VLOOKUP(S245,R251:U260,3,FALSE)</f>
        <v>0</v>
      </c>
      <c r="W245" s="330"/>
      <c r="X245" s="334">
        <f>VLOOKUP(Y245,X251:AA260,4,FALSE)</f>
        <v>1</v>
      </c>
      <c r="Y245" s="335">
        <f>VLOOKUP(Y246,X251:Z260,1,TRUE)</f>
        <v>0</v>
      </c>
      <c r="Z245" s="336">
        <f>VLOOKUP(Y245,X251:Z260,2,FALSE)</f>
        <v>0</v>
      </c>
      <c r="AA245" s="336">
        <f>VLOOKUP(Y245,X251:Z260,3,FALSE)</f>
        <v>0</v>
      </c>
      <c r="AB245" s="330"/>
      <c r="AC245" s="334">
        <f>VLOOKUP(AD245,AC251:AF260,4,FALSE)</f>
        <v>1</v>
      </c>
      <c r="AD245" s="335">
        <f>VLOOKUP(AD246,AC251:AF260,1,TRUE)</f>
        <v>0</v>
      </c>
      <c r="AE245" s="336">
        <f>VLOOKUP(AD245,AC251:AF257,2,FALSE)</f>
        <v>0</v>
      </c>
      <c r="AF245" s="336">
        <f>VLOOKUP(AD245,AC251:AF260,3,FALSE)</f>
        <v>0</v>
      </c>
    </row>
    <row r="246" spans="1:32" x14ac:dyDescent="0.25">
      <c r="A246" s="330"/>
      <c r="B246" s="335"/>
      <c r="C246" s="337">
        <f>B31</f>
        <v>0</v>
      </c>
      <c r="D246" s="338">
        <f>(D247-D245)/(C247-C245)*(C246-C245)+D245</f>
        <v>0</v>
      </c>
      <c r="E246" s="338">
        <f>(E247-E245)/(C247-C245)*(C246-C245)+E245</f>
        <v>1.6000000000000001E-4</v>
      </c>
      <c r="F246" s="330"/>
      <c r="G246" s="335"/>
      <c r="H246" s="337">
        <f>B32</f>
        <v>0</v>
      </c>
      <c r="I246" s="338">
        <f>(I247-I245)/(H247-H245)*(H246-H245)+I245</f>
        <v>0</v>
      </c>
      <c r="J246" s="338">
        <f>(J247-J245)/(H247-H245)*(H246-H245)+J245</f>
        <v>0</v>
      </c>
      <c r="L246" s="330"/>
      <c r="M246" s="335"/>
      <c r="N246" s="337">
        <f>C246</f>
        <v>0</v>
      </c>
      <c r="O246" s="338">
        <f>(O247-O245)/(N247-N245)*(N246-N245)+O245</f>
        <v>0</v>
      </c>
      <c r="P246" s="338">
        <f>(P247-P245)/(N247-N245)*(N246-N245)+P245</f>
        <v>0.05</v>
      </c>
      <c r="Q246" s="330"/>
      <c r="R246" s="335"/>
      <c r="S246" s="337">
        <f>H246</f>
        <v>0</v>
      </c>
      <c r="T246" s="338">
        <f>(T247-T245)/(S247-S245)*(S246-S245)+T245</f>
        <v>0</v>
      </c>
      <c r="U246" s="338">
        <f>(U247-U245)/(S247-S245)*(S246-S245)+U245</f>
        <v>0</v>
      </c>
      <c r="W246" s="330"/>
      <c r="X246" s="335"/>
      <c r="Y246" s="337">
        <f>N246</f>
        <v>0</v>
      </c>
      <c r="Z246" s="338">
        <f>(Z247-Z245)/(Y247-Y245)*(Y246-Y245)+Z245</f>
        <v>0</v>
      </c>
      <c r="AA246" s="338">
        <f>(AA247-AA245)/(Y247-Y245)*(Y246-Y245)+AA245</f>
        <v>0</v>
      </c>
      <c r="AB246" s="330"/>
      <c r="AC246" s="335"/>
      <c r="AD246" s="337">
        <f>S246</f>
        <v>0</v>
      </c>
      <c r="AE246" s="338">
        <f>(AE247-AE245)/(AD247-AD245)*(AD246-AD245)+AE245</f>
        <v>0</v>
      </c>
      <c r="AF246" s="338">
        <f>(AF247-AF245)/(AD247-AD245)*(AD246-AD245)+AF245</f>
        <v>0</v>
      </c>
    </row>
    <row r="247" spans="1:32" x14ac:dyDescent="0.25">
      <c r="A247" s="330"/>
      <c r="B247" s="334">
        <f>B245+1</f>
        <v>2</v>
      </c>
      <c r="C247" s="335">
        <f>VLOOKUP(B245+1,A251:D260,2,FALSE)</f>
        <v>1</v>
      </c>
      <c r="D247" s="336">
        <f>VLOOKUP(C247,B251:D260,2,FALSE)</f>
        <v>6.9999999999999994E-5</v>
      </c>
      <c r="E247" s="336">
        <f>VLOOKUP(C247,B251:D260,3,FALSE)</f>
        <v>2.5000000000000001E-3</v>
      </c>
      <c r="F247" s="330"/>
      <c r="G247" s="334">
        <f>G245+1</f>
        <v>2</v>
      </c>
      <c r="H247" s="335">
        <f>VLOOKUP(G245+1,F251:J260,2,FALSE)</f>
        <v>10</v>
      </c>
      <c r="I247" s="336">
        <f>VLOOKUP(H247,G251:J260,2,FALSE)</f>
        <v>0</v>
      </c>
      <c r="J247" s="336">
        <f>VLOOKUP(H247,G251:J260,3,FALSE)</f>
        <v>0</v>
      </c>
      <c r="L247" s="330"/>
      <c r="M247" s="334">
        <f>M245+1</f>
        <v>2</v>
      </c>
      <c r="N247" s="335">
        <f>VLOOKUP(M245+1,L251:O260,2,FALSE)</f>
        <v>10</v>
      </c>
      <c r="O247" s="336">
        <f>VLOOKUP(N247,M251:O260,2,FALSE)</f>
        <v>0</v>
      </c>
      <c r="P247" s="336">
        <f>VLOOKUP(N247,M251:O260,3,FALSE)</f>
        <v>0.2</v>
      </c>
      <c r="Q247" s="330"/>
      <c r="R247" s="334">
        <f>R245+1</f>
        <v>2</v>
      </c>
      <c r="S247" s="335">
        <f>VLOOKUP(R245+1,Q251:U260,2,FALSE)</f>
        <v>10</v>
      </c>
      <c r="T247" s="336">
        <f>VLOOKUP(S247,R251:U260,2,FALSE)</f>
        <v>0</v>
      </c>
      <c r="U247" s="336">
        <f>VLOOKUP(S247,R251:U260,3,FALSE)</f>
        <v>0</v>
      </c>
      <c r="W247" s="330"/>
      <c r="X247" s="334">
        <f>X245+1</f>
        <v>2</v>
      </c>
      <c r="Y247" s="335">
        <f>VLOOKUP(X245+1,W251:Z260,2,FALSE)</f>
        <v>10</v>
      </c>
      <c r="Z247" s="336">
        <f>VLOOKUP(Y247,X251:Z260,2,FALSE)</f>
        <v>0</v>
      </c>
      <c r="AA247" s="336">
        <f>VLOOKUP(Y247,X251:Z260,3,FALSE)</f>
        <v>0</v>
      </c>
      <c r="AB247" s="330"/>
      <c r="AC247" s="334">
        <f>AC245+1</f>
        <v>2</v>
      </c>
      <c r="AD247" s="335">
        <f>VLOOKUP(AC245+1,AB251:AF260,2,FALSE)</f>
        <v>10</v>
      </c>
      <c r="AE247" s="336">
        <f>VLOOKUP(AD247,AC251:AF260,2,FALSE)</f>
        <v>0</v>
      </c>
      <c r="AF247" s="336">
        <f>VLOOKUP(AD247,AC251:AF260,3,FALSE)</f>
        <v>0</v>
      </c>
    </row>
    <row r="248" spans="1:32" x14ac:dyDescent="0.25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</row>
    <row r="249" spans="1:32" ht="15.6" x14ac:dyDescent="0.3">
      <c r="A249" s="330"/>
      <c r="B249" s="333" t="s">
        <v>139</v>
      </c>
      <c r="C249" s="333" t="s">
        <v>104</v>
      </c>
      <c r="D249" s="333" t="s">
        <v>14</v>
      </c>
      <c r="E249" s="339"/>
      <c r="F249" s="339"/>
      <c r="G249" s="333" t="s">
        <v>139</v>
      </c>
      <c r="H249" s="333" t="s">
        <v>104</v>
      </c>
      <c r="I249" s="333" t="s">
        <v>14</v>
      </c>
      <c r="J249" s="339"/>
      <c r="L249" s="330"/>
      <c r="M249" s="333" t="s">
        <v>139</v>
      </c>
      <c r="N249" s="333" t="s">
        <v>104</v>
      </c>
      <c r="O249" s="333" t="s">
        <v>14</v>
      </c>
      <c r="P249" s="339"/>
      <c r="Q249" s="339"/>
      <c r="R249" s="333" t="s">
        <v>139</v>
      </c>
      <c r="S249" s="333" t="s">
        <v>104</v>
      </c>
      <c r="T249" s="333" t="s">
        <v>14</v>
      </c>
      <c r="U249" s="339"/>
      <c r="W249" s="330"/>
      <c r="X249" s="333" t="s">
        <v>139</v>
      </c>
      <c r="Y249" s="333" t="s">
        <v>104</v>
      </c>
      <c r="Z249" s="333" t="s">
        <v>14</v>
      </c>
      <c r="AA249" s="339"/>
      <c r="AB249" s="339"/>
      <c r="AC249" s="333" t="s">
        <v>139</v>
      </c>
      <c r="AD249" s="333" t="s">
        <v>104</v>
      </c>
      <c r="AE249" s="333" t="s">
        <v>14</v>
      </c>
      <c r="AF249" s="339"/>
    </row>
    <row r="250" spans="1:32" x14ac:dyDescent="0.25">
      <c r="A250" s="340"/>
      <c r="B250" s="333" t="s">
        <v>91</v>
      </c>
      <c r="C250" s="333" t="s">
        <v>91</v>
      </c>
      <c r="D250" s="333" t="s">
        <v>91</v>
      </c>
      <c r="E250" s="340"/>
      <c r="F250" s="340"/>
      <c r="G250" s="333" t="s">
        <v>91</v>
      </c>
      <c r="H250" s="333" t="s">
        <v>91</v>
      </c>
      <c r="I250" s="333" t="s">
        <v>37</v>
      </c>
      <c r="J250" s="340"/>
      <c r="L250" s="340"/>
      <c r="M250" s="333" t="s">
        <v>91</v>
      </c>
      <c r="N250" s="333" t="s">
        <v>91</v>
      </c>
      <c r="O250" s="333" t="s">
        <v>91</v>
      </c>
      <c r="P250" s="340"/>
      <c r="Q250" s="340"/>
      <c r="R250" s="333" t="s">
        <v>91</v>
      </c>
      <c r="S250" s="333" t="s">
        <v>91</v>
      </c>
      <c r="T250" s="333" t="s">
        <v>91</v>
      </c>
      <c r="U250" s="340"/>
      <c r="W250" s="340"/>
      <c r="X250" s="333" t="s">
        <v>9</v>
      </c>
      <c r="Y250" s="333" t="s">
        <v>9</v>
      </c>
      <c r="Z250" s="333" t="s">
        <v>9</v>
      </c>
      <c r="AA250" s="340"/>
      <c r="AB250" s="340"/>
      <c r="AC250" s="333" t="s">
        <v>9</v>
      </c>
      <c r="AD250" s="333" t="s">
        <v>9</v>
      </c>
      <c r="AE250" s="333" t="s">
        <v>9</v>
      </c>
      <c r="AF250" s="340"/>
    </row>
    <row r="251" spans="1:32" x14ac:dyDescent="0.25">
      <c r="A251" s="341">
        <v>1</v>
      </c>
      <c r="B251" s="342">
        <v>0</v>
      </c>
      <c r="C251" s="342">
        <v>0</v>
      </c>
      <c r="D251" s="342">
        <v>1.6000000000000001E-4</v>
      </c>
      <c r="E251" s="341">
        <v>1</v>
      </c>
      <c r="F251" s="341">
        <v>1</v>
      </c>
      <c r="G251" s="342">
        <v>0</v>
      </c>
      <c r="H251" s="342"/>
      <c r="I251" s="342"/>
      <c r="J251" s="341">
        <v>1</v>
      </c>
      <c r="L251" s="341">
        <v>1</v>
      </c>
      <c r="M251" s="342">
        <v>0</v>
      </c>
      <c r="N251" s="342">
        <v>0</v>
      </c>
      <c r="O251" s="342">
        <v>0.05</v>
      </c>
      <c r="P251" s="341">
        <v>1</v>
      </c>
      <c r="Q251" s="341">
        <v>1</v>
      </c>
      <c r="R251" s="342">
        <v>0</v>
      </c>
      <c r="S251" s="342"/>
      <c r="T251" s="342"/>
      <c r="U251" s="341">
        <v>1</v>
      </c>
      <c r="W251" s="341">
        <v>1</v>
      </c>
      <c r="X251" s="342">
        <v>0</v>
      </c>
      <c r="Y251" s="342"/>
      <c r="Z251" s="342"/>
      <c r="AA251" s="341">
        <v>1</v>
      </c>
      <c r="AB251" s="341">
        <v>1</v>
      </c>
      <c r="AC251" s="342">
        <v>0</v>
      </c>
      <c r="AD251" s="342"/>
      <c r="AE251" s="342"/>
      <c r="AF251" s="341">
        <v>1</v>
      </c>
    </row>
    <row r="252" spans="1:32" x14ac:dyDescent="0.25">
      <c r="A252" s="341">
        <v>2</v>
      </c>
      <c r="B252" s="342">
        <v>1</v>
      </c>
      <c r="C252" s="342">
        <v>6.9999999999999994E-5</v>
      </c>
      <c r="D252" s="342">
        <v>2.5000000000000001E-3</v>
      </c>
      <c r="E252" s="341">
        <v>2</v>
      </c>
      <c r="F252" s="341">
        <v>2</v>
      </c>
      <c r="G252" s="342">
        <v>10</v>
      </c>
      <c r="H252" s="342"/>
      <c r="I252" s="342"/>
      <c r="J252" s="341">
        <v>2</v>
      </c>
      <c r="L252" s="341">
        <v>2</v>
      </c>
      <c r="M252" s="342">
        <v>10</v>
      </c>
      <c r="N252" s="342">
        <v>0</v>
      </c>
      <c r="O252" s="342">
        <v>0.2</v>
      </c>
      <c r="P252" s="341">
        <v>2</v>
      </c>
      <c r="Q252" s="341">
        <v>2</v>
      </c>
      <c r="R252" s="342">
        <v>10</v>
      </c>
      <c r="S252" s="342"/>
      <c r="T252" s="342"/>
      <c r="U252" s="341">
        <v>2</v>
      </c>
      <c r="W252" s="341">
        <v>2</v>
      </c>
      <c r="X252" s="342">
        <v>10</v>
      </c>
      <c r="Y252" s="342"/>
      <c r="Z252" s="342"/>
      <c r="AA252" s="341">
        <v>2</v>
      </c>
      <c r="AB252" s="341">
        <v>2</v>
      </c>
      <c r="AC252" s="342">
        <v>10</v>
      </c>
      <c r="AD252" s="342"/>
      <c r="AE252" s="342"/>
      <c r="AF252" s="341">
        <v>2</v>
      </c>
    </row>
    <row r="253" spans="1:32" x14ac:dyDescent="0.25">
      <c r="A253" s="341">
        <v>3</v>
      </c>
      <c r="B253" s="342">
        <v>100</v>
      </c>
      <c r="C253" s="342">
        <v>2.2000000000000001E-4</v>
      </c>
      <c r="D253" s="342">
        <v>2.5000000000000001E-3</v>
      </c>
      <c r="E253" s="341">
        <v>3</v>
      </c>
      <c r="F253" s="341">
        <v>3</v>
      </c>
      <c r="G253" s="342">
        <v>20</v>
      </c>
      <c r="H253" s="342"/>
      <c r="I253" s="342"/>
      <c r="J253" s="341">
        <v>3</v>
      </c>
      <c r="L253" s="341">
        <v>3</v>
      </c>
      <c r="M253" s="342">
        <v>5000</v>
      </c>
      <c r="N253" s="342">
        <v>0</v>
      </c>
      <c r="O253" s="342">
        <v>0.2</v>
      </c>
      <c r="P253" s="341">
        <v>3</v>
      </c>
      <c r="Q253" s="341">
        <v>3</v>
      </c>
      <c r="R253" s="342">
        <v>20</v>
      </c>
      <c r="S253" s="342"/>
      <c r="T253" s="342"/>
      <c r="U253" s="341">
        <v>3</v>
      </c>
      <c r="W253" s="341">
        <v>3</v>
      </c>
      <c r="X253" s="342">
        <v>20</v>
      </c>
      <c r="Y253" s="342"/>
      <c r="Z253" s="342"/>
      <c r="AA253" s="341">
        <v>3</v>
      </c>
      <c r="AB253" s="341">
        <v>3</v>
      </c>
      <c r="AC253" s="342">
        <v>20</v>
      </c>
      <c r="AD253" s="342"/>
      <c r="AE253" s="342"/>
      <c r="AF253" s="341">
        <v>3</v>
      </c>
    </row>
    <row r="254" spans="1:32" x14ac:dyDescent="0.25">
      <c r="A254" s="341">
        <v>4</v>
      </c>
      <c r="B254" s="342">
        <v>200</v>
      </c>
      <c r="C254" s="342">
        <v>1.7000000000000001E-4</v>
      </c>
      <c r="D254" s="342">
        <v>2.5000000000000001E-3</v>
      </c>
      <c r="E254" s="341">
        <v>4</v>
      </c>
      <c r="F254" s="341">
        <v>4</v>
      </c>
      <c r="G254" s="342">
        <v>50</v>
      </c>
      <c r="H254" s="342"/>
      <c r="I254" s="342"/>
      <c r="J254" s="341">
        <v>4</v>
      </c>
      <c r="L254" s="341">
        <v>4</v>
      </c>
      <c r="M254" s="342">
        <v>10000</v>
      </c>
      <c r="N254" s="342">
        <v>0</v>
      </c>
      <c r="O254" s="342">
        <v>0.2</v>
      </c>
      <c r="P254" s="341">
        <v>4</v>
      </c>
      <c r="Q254" s="341">
        <v>4</v>
      </c>
      <c r="R254" s="342">
        <v>50</v>
      </c>
      <c r="S254" s="342"/>
      <c r="T254" s="342"/>
      <c r="U254" s="341">
        <v>4</v>
      </c>
      <c r="W254" s="341">
        <v>4</v>
      </c>
      <c r="X254" s="342">
        <v>50</v>
      </c>
      <c r="Y254" s="342"/>
      <c r="Z254" s="342"/>
      <c r="AA254" s="341">
        <v>4</v>
      </c>
      <c r="AB254" s="341">
        <v>4</v>
      </c>
      <c r="AC254" s="342">
        <v>50</v>
      </c>
      <c r="AD254" s="342"/>
      <c r="AE254" s="342"/>
      <c r="AF254" s="341">
        <v>4</v>
      </c>
    </row>
    <row r="255" spans="1:32" x14ac:dyDescent="0.25">
      <c r="A255" s="341">
        <v>5</v>
      </c>
      <c r="B255" s="342">
        <v>300</v>
      </c>
      <c r="C255" s="342">
        <v>2.4000000000000001E-4</v>
      </c>
      <c r="D255" s="342">
        <v>2.5000000000000001E-3</v>
      </c>
      <c r="E255" s="341">
        <v>5</v>
      </c>
      <c r="F255" s="341">
        <v>5</v>
      </c>
      <c r="G255" s="342">
        <v>70</v>
      </c>
      <c r="H255" s="342"/>
      <c r="I255" s="342"/>
      <c r="J255" s="341">
        <v>5</v>
      </c>
      <c r="L255" s="341">
        <v>5</v>
      </c>
      <c r="M255" s="342">
        <v>20000</v>
      </c>
      <c r="N255" s="342">
        <v>0</v>
      </c>
      <c r="O255" s="342">
        <v>0.2</v>
      </c>
      <c r="P255" s="341">
        <v>5</v>
      </c>
      <c r="Q255" s="341">
        <v>5</v>
      </c>
      <c r="R255" s="342">
        <v>70</v>
      </c>
      <c r="S255" s="342"/>
      <c r="T255" s="342"/>
      <c r="U255" s="341">
        <v>5</v>
      </c>
      <c r="W255" s="341">
        <v>5</v>
      </c>
      <c r="X255" s="342">
        <v>70</v>
      </c>
      <c r="Y255" s="342"/>
      <c r="Z255" s="342"/>
      <c r="AA255" s="341">
        <v>5</v>
      </c>
      <c r="AB255" s="341">
        <v>5</v>
      </c>
      <c r="AC255" s="342">
        <v>70</v>
      </c>
      <c r="AD255" s="342"/>
      <c r="AE255" s="342"/>
      <c r="AF255" s="341">
        <v>5</v>
      </c>
    </row>
    <row r="256" spans="1:32" x14ac:dyDescent="0.25">
      <c r="A256" s="341">
        <v>6</v>
      </c>
      <c r="B256" s="342">
        <v>400</v>
      </c>
      <c r="C256" s="342">
        <v>1.6000000000000001E-4</v>
      </c>
      <c r="D256" s="342">
        <v>2.5000000000000001E-3</v>
      </c>
      <c r="E256" s="341">
        <v>6</v>
      </c>
      <c r="F256" s="341">
        <v>6</v>
      </c>
      <c r="G256" s="342">
        <v>200</v>
      </c>
      <c r="H256" s="342"/>
      <c r="I256" s="342"/>
      <c r="J256" s="341">
        <v>6</v>
      </c>
      <c r="L256" s="341">
        <v>6</v>
      </c>
      <c r="M256" s="342">
        <v>32000</v>
      </c>
      <c r="N256" s="342">
        <v>0</v>
      </c>
      <c r="O256" s="342">
        <v>0.2</v>
      </c>
      <c r="P256" s="341">
        <v>6</v>
      </c>
      <c r="Q256" s="341">
        <v>6</v>
      </c>
      <c r="R256" s="342">
        <v>200</v>
      </c>
      <c r="S256" s="342"/>
      <c r="T256" s="342"/>
      <c r="U256" s="341">
        <v>6</v>
      </c>
      <c r="W256" s="341">
        <v>6</v>
      </c>
      <c r="X256" s="342">
        <v>200</v>
      </c>
      <c r="Y256" s="342"/>
      <c r="Z256" s="342"/>
      <c r="AA256" s="341">
        <v>6</v>
      </c>
      <c r="AB256" s="341">
        <v>6</v>
      </c>
      <c r="AC256" s="342">
        <v>200</v>
      </c>
      <c r="AD256" s="342"/>
      <c r="AE256" s="342"/>
      <c r="AF256" s="341">
        <v>6</v>
      </c>
    </row>
    <row r="257" spans="1:32" x14ac:dyDescent="0.25">
      <c r="A257" s="341">
        <v>7</v>
      </c>
      <c r="B257" s="342">
        <v>500</v>
      </c>
      <c r="C257" s="342">
        <v>-1.9000000000000001E-4</v>
      </c>
      <c r="D257" s="342">
        <v>2.5000000000000001E-3</v>
      </c>
      <c r="E257" s="341">
        <v>7</v>
      </c>
      <c r="F257" s="341">
        <v>7</v>
      </c>
      <c r="G257" s="342">
        <v>500</v>
      </c>
      <c r="H257" s="342"/>
      <c r="I257" s="342"/>
      <c r="J257" s="341">
        <v>7</v>
      </c>
      <c r="L257" s="341">
        <v>7</v>
      </c>
      <c r="M257" s="342"/>
      <c r="N257" s="342"/>
      <c r="O257" s="342"/>
      <c r="P257" s="341">
        <v>7</v>
      </c>
      <c r="Q257" s="341">
        <v>7</v>
      </c>
      <c r="R257" s="342">
        <v>500</v>
      </c>
      <c r="S257" s="342"/>
      <c r="T257" s="342"/>
      <c r="U257" s="341">
        <v>7</v>
      </c>
      <c r="W257" s="341">
        <v>7</v>
      </c>
      <c r="X257" s="342">
        <v>500</v>
      </c>
      <c r="Y257" s="342"/>
      <c r="Z257" s="342"/>
      <c r="AA257" s="341">
        <v>7</v>
      </c>
      <c r="AB257" s="341">
        <v>7</v>
      </c>
      <c r="AC257" s="342">
        <v>500</v>
      </c>
      <c r="AD257" s="342"/>
      <c r="AE257" s="342"/>
      <c r="AF257" s="341">
        <v>7</v>
      </c>
    </row>
    <row r="258" spans="1:32" x14ac:dyDescent="0.25">
      <c r="A258" s="341">
        <v>8</v>
      </c>
      <c r="B258" s="342"/>
      <c r="C258" s="342"/>
      <c r="D258" s="342"/>
      <c r="E258" s="341">
        <v>8</v>
      </c>
      <c r="F258" s="341">
        <v>8</v>
      </c>
      <c r="G258" s="342">
        <v>700</v>
      </c>
      <c r="H258" s="342"/>
      <c r="I258" s="342"/>
      <c r="J258" s="341">
        <v>8</v>
      </c>
      <c r="L258" s="341">
        <v>8</v>
      </c>
      <c r="M258" s="342"/>
      <c r="N258" s="342"/>
      <c r="O258" s="342"/>
      <c r="P258" s="341">
        <v>8</v>
      </c>
      <c r="Q258" s="341">
        <v>8</v>
      </c>
      <c r="R258" s="342">
        <v>700</v>
      </c>
      <c r="S258" s="342"/>
      <c r="T258" s="342"/>
      <c r="U258" s="341">
        <v>8</v>
      </c>
      <c r="W258" s="341">
        <v>8</v>
      </c>
      <c r="X258" s="342">
        <v>700</v>
      </c>
      <c r="Y258" s="342"/>
      <c r="Z258" s="342"/>
      <c r="AA258" s="341">
        <v>8</v>
      </c>
      <c r="AB258" s="341">
        <v>8</v>
      </c>
      <c r="AC258" s="342">
        <v>700</v>
      </c>
      <c r="AD258" s="342"/>
      <c r="AE258" s="342"/>
      <c r="AF258" s="341">
        <v>8</v>
      </c>
    </row>
    <row r="259" spans="1:32" x14ac:dyDescent="0.25">
      <c r="A259" s="341">
        <v>9</v>
      </c>
      <c r="B259" s="342"/>
      <c r="C259" s="342"/>
      <c r="D259" s="342"/>
      <c r="E259" s="341">
        <v>9</v>
      </c>
      <c r="F259" s="341">
        <v>9</v>
      </c>
      <c r="G259" s="342">
        <v>1000</v>
      </c>
      <c r="H259" s="342"/>
      <c r="I259" s="342"/>
      <c r="J259" s="341">
        <v>9</v>
      </c>
      <c r="L259" s="341">
        <v>9</v>
      </c>
      <c r="M259" s="342"/>
      <c r="N259" s="342"/>
      <c r="O259" s="342"/>
      <c r="P259" s="341">
        <v>9</v>
      </c>
      <c r="Q259" s="341">
        <v>9</v>
      </c>
      <c r="R259" s="342">
        <v>1000</v>
      </c>
      <c r="S259" s="342"/>
      <c r="T259" s="342"/>
      <c r="U259" s="341">
        <v>9</v>
      </c>
      <c r="W259" s="341">
        <v>9</v>
      </c>
      <c r="X259" s="342">
        <v>1000</v>
      </c>
      <c r="Y259" s="342"/>
      <c r="Z259" s="342"/>
      <c r="AA259" s="341">
        <v>9</v>
      </c>
      <c r="AB259" s="341">
        <v>9</v>
      </c>
      <c r="AC259" s="342">
        <v>1000</v>
      </c>
      <c r="AD259" s="342"/>
      <c r="AE259" s="342"/>
      <c r="AF259" s="341">
        <v>9</v>
      </c>
    </row>
    <row r="260" spans="1:32" x14ac:dyDescent="0.25">
      <c r="A260" s="341">
        <v>10</v>
      </c>
      <c r="B260" s="342"/>
      <c r="C260" s="342"/>
      <c r="D260" s="342"/>
      <c r="E260" s="341">
        <v>10</v>
      </c>
      <c r="F260" s="341">
        <v>10</v>
      </c>
      <c r="G260" s="342">
        <v>1500</v>
      </c>
      <c r="H260" s="342"/>
      <c r="I260" s="342"/>
      <c r="J260" s="341">
        <v>10</v>
      </c>
      <c r="L260" s="341">
        <v>10</v>
      </c>
      <c r="M260" s="342"/>
      <c r="N260" s="342"/>
      <c r="O260" s="342"/>
      <c r="P260" s="341">
        <v>10</v>
      </c>
      <c r="Q260" s="341">
        <v>10</v>
      </c>
      <c r="R260" s="342">
        <v>1500</v>
      </c>
      <c r="S260" s="342"/>
      <c r="T260" s="342"/>
      <c r="U260" s="341">
        <v>10</v>
      </c>
      <c r="W260" s="341">
        <v>10</v>
      </c>
      <c r="X260" s="342">
        <v>1500</v>
      </c>
      <c r="Y260" s="342"/>
      <c r="Z260" s="342"/>
      <c r="AA260" s="341">
        <v>10</v>
      </c>
      <c r="AB260" s="341">
        <v>10</v>
      </c>
      <c r="AC260" s="342">
        <v>1500</v>
      </c>
      <c r="AD260" s="342"/>
      <c r="AE260" s="342"/>
      <c r="AF260" s="341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569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9569" r:id="rId3"/>
      </mc:Fallback>
    </mc:AlternateContent>
    <mc:AlternateContent xmlns:mc="http://schemas.openxmlformats.org/markup-compatibility/2006">
      <mc:Choice Requires="x14">
        <oleObject progId="Equation.3" shapeId="109570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9570" r:id="rId5"/>
      </mc:Fallback>
    </mc:AlternateContent>
    <mc:AlternateContent xmlns:mc="http://schemas.openxmlformats.org/markup-compatibility/2006">
      <mc:Choice Requires="x14">
        <oleObject progId="Equation.3" shapeId="109571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9571" r:id="rId7"/>
      </mc:Fallback>
    </mc:AlternateContent>
    <mc:AlternateContent xmlns:mc="http://schemas.openxmlformats.org/markup-compatibility/2006">
      <mc:Choice Requires="x14">
        <oleObject progId="Equation.3" shapeId="109572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9572" r:id="rId9"/>
      </mc:Fallback>
    </mc:AlternateContent>
    <mc:AlternateContent xmlns:mc="http://schemas.openxmlformats.org/markup-compatibility/2006">
      <mc:Choice Requires="x14">
        <oleObject progId="Equation.3" shapeId="109573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9573" r:id="rId11"/>
      </mc:Fallback>
    </mc:AlternateContent>
    <mc:AlternateContent xmlns:mc="http://schemas.openxmlformats.org/markup-compatibility/2006">
      <mc:Choice Requires="x14">
        <oleObject progId="Equation.3" shapeId="109575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9575" r:id="rId13"/>
      </mc:Fallback>
    </mc:AlternateContent>
    <mc:AlternateContent xmlns:mc="http://schemas.openxmlformats.org/markup-compatibility/2006">
      <mc:Choice Requires="x14">
        <oleObject progId="Equation.3" shapeId="109576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9576" r:id="rId14"/>
      </mc:Fallback>
    </mc:AlternateContent>
    <mc:AlternateContent xmlns:mc="http://schemas.openxmlformats.org/markup-compatibility/2006">
      <mc:Choice Requires="x14">
        <oleObject progId="Equation.3" shapeId="109578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9578" r:id="rId16"/>
      </mc:Fallback>
    </mc:AlternateContent>
    <mc:AlternateContent xmlns:mc="http://schemas.openxmlformats.org/markup-compatibility/2006">
      <mc:Choice Requires="x14">
        <oleObject progId="Equation.3" shapeId="109579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9579" r:id="rId17"/>
      </mc:Fallback>
    </mc:AlternateContent>
    <mc:AlternateContent xmlns:mc="http://schemas.openxmlformats.org/markup-compatibility/2006">
      <mc:Choice Requires="x14">
        <oleObject progId="Equation.3" shapeId="109580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9580" r:id="rId19"/>
      </mc:Fallback>
    </mc:AlternateContent>
    <mc:AlternateContent xmlns:mc="http://schemas.openxmlformats.org/markup-compatibility/2006">
      <mc:Choice Requires="x14">
        <oleObject progId="Equation.3" shapeId="109581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9581" r:id="rId21"/>
      </mc:Fallback>
    </mc:AlternateContent>
    <mc:AlternateContent xmlns:mc="http://schemas.openxmlformats.org/markup-compatibility/2006">
      <mc:Choice Requires="x14">
        <oleObject progId="Equation.3" shapeId="109582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9582" r:id="rId22"/>
      </mc:Fallback>
    </mc:AlternateContent>
    <mc:AlternateContent xmlns:mc="http://schemas.openxmlformats.org/markup-compatibility/2006">
      <mc:Choice Requires="x14">
        <oleObject progId="Equation.3" shapeId="109583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9583" r:id="rId24"/>
      </mc:Fallback>
    </mc:AlternateContent>
    <mc:AlternateContent xmlns:mc="http://schemas.openxmlformats.org/markup-compatibility/2006">
      <mc:Choice Requires="x14">
        <oleObject progId="Equation.3" shapeId="109584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4" r:id="rId25"/>
      </mc:Fallback>
    </mc:AlternateContent>
    <mc:AlternateContent xmlns:mc="http://schemas.openxmlformats.org/markup-compatibility/2006">
      <mc:Choice Requires="x14">
        <oleObject progId="Equation.3" shapeId="109585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5" r:id="rId26"/>
      </mc:Fallback>
    </mc:AlternateContent>
    <mc:AlternateContent xmlns:mc="http://schemas.openxmlformats.org/markup-compatibility/2006">
      <mc:Choice Requires="x14">
        <oleObject progId="Equation.3" shapeId="109586" r:id="rId27">
          <objectPr defaultSize="0" autoPict="0" r:id="rId28">
            <anchor moveWithCells="1" sizeWithCells="1">
              <from>
                <xdr:col>0</xdr:col>
                <xdr:colOff>403860</xdr:colOff>
                <xdr:row>8</xdr:row>
                <xdr:rowOff>160020</xdr:rowOff>
              </from>
              <to>
                <xdr:col>2</xdr:col>
                <xdr:colOff>68580</xdr:colOff>
                <xdr:row>12</xdr:row>
                <xdr:rowOff>45720</xdr:rowOff>
              </to>
            </anchor>
          </objectPr>
        </oleObject>
      </mc:Choice>
      <mc:Fallback>
        <oleObject progId="Equation.3" shapeId="109586" r:id="rId27"/>
      </mc:Fallback>
    </mc:AlternateContent>
    <mc:AlternateContent xmlns:mc="http://schemas.openxmlformats.org/markup-compatibility/2006">
      <mc:Choice Requires="x14">
        <oleObject progId="Equation.3" shapeId="109587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7" r:id="rId29"/>
      </mc:Fallback>
    </mc:AlternateContent>
    <mc:AlternateContent xmlns:mc="http://schemas.openxmlformats.org/markup-compatibility/2006">
      <mc:Choice Requires="x14">
        <oleObject progId="Equation.3" shapeId="109588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9588" r:id="rId30"/>
      </mc:Fallback>
    </mc:AlternateContent>
    <mc:AlternateContent xmlns:mc="http://schemas.openxmlformats.org/markup-compatibility/2006">
      <mc:Choice Requires="x14">
        <oleObject progId="Equation.3" shapeId="109589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9" r:id="rId32"/>
      </mc:Fallback>
    </mc:AlternateContent>
    <mc:AlternateContent xmlns:mc="http://schemas.openxmlformats.org/markup-compatibility/2006">
      <mc:Choice Requires="x14">
        <oleObject progId="Equation.3" shapeId="109590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0" r:id="rId33"/>
      </mc:Fallback>
    </mc:AlternateContent>
    <mc:AlternateContent xmlns:mc="http://schemas.openxmlformats.org/markup-compatibility/2006">
      <mc:Choice Requires="x14">
        <oleObject progId="Equation.3" shapeId="109591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1" r:id="rId34"/>
      </mc:Fallback>
    </mc:AlternateContent>
    <mc:AlternateContent xmlns:mc="http://schemas.openxmlformats.org/markup-compatibility/2006">
      <mc:Choice Requires="x14">
        <oleObject progId="Equation.3" shapeId="109592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2" r:id="rId35"/>
      </mc:Fallback>
    </mc:AlternateContent>
    <mc:AlternateContent xmlns:mc="http://schemas.openxmlformats.org/markup-compatibility/2006">
      <mc:Choice Requires="x14">
        <oleObject progId="Equation.3" shapeId="109593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9593" r:id="rId36"/>
      </mc:Fallback>
    </mc:AlternateContent>
    <mc:AlternateContent xmlns:mc="http://schemas.openxmlformats.org/markup-compatibility/2006">
      <mc:Choice Requires="x14">
        <oleObject progId="Equation.3" shapeId="109594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4" r:id="rId3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9FB3-98B8-4D22-8A72-E20D187BFD0D}">
  <dimension ref="C3:F6"/>
  <sheetViews>
    <sheetView workbookViewId="0">
      <selection activeCell="C4" sqref="C4:F4"/>
    </sheetView>
  </sheetViews>
  <sheetFormatPr baseColWidth="10" defaultRowHeight="13.2" x14ac:dyDescent="0.25"/>
  <cols>
    <col min="1" max="1" width="8.109375" customWidth="1"/>
    <col min="2" max="2" width="11.6640625" customWidth="1"/>
    <col min="3" max="3" width="21" customWidth="1"/>
    <col min="4" max="4" width="21.109375" customWidth="1"/>
    <col min="5" max="5" width="22.6640625" customWidth="1"/>
    <col min="6" max="6" width="26.6640625" customWidth="1"/>
    <col min="7" max="256" width="8.88671875" customWidth="1"/>
  </cols>
  <sheetData>
    <row r="3" spans="3:6" ht="14.4" x14ac:dyDescent="0.25">
      <c r="C3" s="455" t="s">
        <v>491</v>
      </c>
      <c r="D3" s="455" t="s">
        <v>492</v>
      </c>
      <c r="E3" s="455" t="s">
        <v>493</v>
      </c>
      <c r="F3" s="456" t="s">
        <v>494</v>
      </c>
    </row>
    <row r="4" spans="3:6" x14ac:dyDescent="0.25">
      <c r="C4" s="457" t="str">
        <f>Datos!D10</f>
        <v>probeta</v>
      </c>
      <c r="D4" s="458">
        <f>Datos!D3</f>
        <v>45509</v>
      </c>
      <c r="E4" s="457" t="str">
        <f>Datos!D13</f>
        <v>NI-MC-MV-07</v>
      </c>
      <c r="F4" s="459" t="str">
        <f>Datos!K3</f>
        <v>NI-MC-V-XXX-2020</v>
      </c>
    </row>
    <row r="5" spans="3:6" x14ac:dyDescent="0.25">
      <c r="C5" s="454"/>
      <c r="D5" s="454"/>
      <c r="E5" s="454"/>
      <c r="F5" s="454"/>
    </row>
    <row r="6" spans="3:6" x14ac:dyDescent="0.25">
      <c r="C6" s="454"/>
      <c r="D6" s="454"/>
      <c r="E6" s="454"/>
      <c r="F6" s="4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</vt:lpstr>
      <vt:lpstr>+DA</vt:lpstr>
      <vt:lpstr>CMC's</vt:lpstr>
      <vt:lpstr>punto 1</vt:lpstr>
      <vt:lpstr>punto 2</vt:lpstr>
      <vt:lpstr>punto 3</vt:lpstr>
      <vt:lpstr>punto 4</vt:lpstr>
      <vt:lpstr>punto 5</vt:lpstr>
      <vt:lpstr>Hoja1</vt:lpstr>
      <vt:lpstr>FA</vt:lpstr>
      <vt:lpstr>Datos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Protocolo de Calibración Reg. No. CVOL 0012/98</dc:title>
  <dc:creator>Laboratorio Nacional de Metrología</dc:creator>
  <cp:lastModifiedBy>FRANCISCO JAVIER GARCIA CALIX</cp:lastModifiedBy>
  <cp:lastPrinted>2024-08-05T21:02:10Z</cp:lastPrinted>
  <dcterms:created xsi:type="dcterms:W3CDTF">1998-03-30T15:53:54Z</dcterms:created>
  <dcterms:modified xsi:type="dcterms:W3CDTF">2024-08-06T22:54:09Z</dcterms:modified>
</cp:coreProperties>
</file>