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ctrlProps/ctrlProp1.xml" ContentType="application/vnd.ms-excel.controlproperties+xml"/>
  <Override PartName="/xl/tables/table14.xml" ContentType="application/vnd.openxmlformats-officedocument.spreadsheetml.table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5.xml" ContentType="application/vnd.openxmlformats-officedocument.spreadsheetml.table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6.xml" ContentType="application/vnd.openxmlformats-officedocument.spreadsheetml.table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7.xml" ContentType="application/vnd.openxmlformats-officedocument.spreadsheetml.table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tables/table18.xml" ContentType="application/vnd.openxmlformats-officedocument.spreadsheetml.table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ctrlProps/ctrlProp2.xml" ContentType="application/vnd.ms-excel.controlproperties+xml"/>
  <Override PartName="/xl/tables/table19.xml" ContentType="application/vnd.openxmlformats-officedocument.spreadsheetml.table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0.xml" ContentType="application/vnd.openxmlformats-officedocument.spreadsheetml.table+xml"/>
  <Override PartName="/xl/comments20.xml" ContentType="application/vnd.openxmlformats-officedocument.spreadsheetml.comments+xml"/>
  <Override PartName="/xl/tables/table21.xml" ContentType="application/vnd.openxmlformats-officedocument.spreadsheetml.table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 filterPrivacy="1" showInkAnnotation="0" updateLinks="never" hidePivotFieldList="1"/>
  <xr:revisionPtr revIDLastSave="0" documentId="13_ncr:1_{53BB2A3D-3431-42BC-9E1A-3D2465A571FD}" xr6:coauthVersionLast="47" xr6:coauthVersionMax="47" xr10:uidLastSave="{00000000-0000-0000-0000-000000000000}"/>
  <bookViews>
    <workbookView xWindow="-108" yWindow="-108" windowWidth="23256" windowHeight="12456" tabRatio="873" activeTab="1" xr2:uid="{00000000-000D-0000-FFFF-FFFF00000000}"/>
  </bookViews>
  <sheets>
    <sheet name="datos" sheetId="56" r:id="rId1"/>
    <sheet name="Salida de datos" sheetId="58" r:id="rId2"/>
    <sheet name="FA Individual (g-mg)" sheetId="63" r:id="rId3"/>
    <sheet name="1 g" sheetId="17" r:id="rId4"/>
    <sheet name="2 g" sheetId="37" r:id="rId5"/>
    <sheet name="2 g." sheetId="38" r:id="rId6"/>
    <sheet name="5 g" sheetId="39" r:id="rId7"/>
    <sheet name="10 g" sheetId="40" r:id="rId8"/>
    <sheet name="20 g" sheetId="41" r:id="rId9"/>
    <sheet name="20 g," sheetId="42" r:id="rId10"/>
    <sheet name="50 g" sheetId="43" r:id="rId11"/>
    <sheet name="100 g" sheetId="44" r:id="rId12"/>
    <sheet name="200 g" sheetId="45" r:id="rId13"/>
    <sheet name="200 g." sheetId="46" r:id="rId14"/>
    <sheet name="500 g" sheetId="47" r:id="rId15"/>
    <sheet name="1 kg" sheetId="48" r:id="rId16"/>
    <sheet name="2 kg" sheetId="49" r:id="rId17"/>
    <sheet name="2 kg." sheetId="50" r:id="rId18"/>
    <sheet name="5 kg" sheetId="51" r:id="rId19"/>
    <sheet name="10 kg" sheetId="52" r:id="rId20"/>
    <sheet name="20 kg" sheetId="53" r:id="rId21"/>
    <sheet name="20 kg." sheetId="54" r:id="rId22"/>
    <sheet name="50 kg" sheetId="55" r:id="rId23"/>
    <sheet name="Etiqueta" sheetId="64" r:id="rId24"/>
    <sheet name="DA Individual (g-mg)" sheetId="62" r:id="rId25"/>
    <sheet name="Datos Clientes" sheetId="59" r:id="rId26"/>
    <sheet name="Trazabilidad" sheetId="65" r:id="rId27"/>
    <sheet name="CMC's" sheetId="66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BalanzaCode" localSheetId="23">[1]General!$F$6</definedName>
    <definedName name="BalanzaCode">[2]General!$F$6</definedName>
    <definedName name="BalanzaMarca" localSheetId="23">[1]General!$F$8</definedName>
    <definedName name="BalanzaMarca">[2]General!$F$8</definedName>
    <definedName name="BalanzaModelo" localSheetId="23">[1]General!$F$9</definedName>
    <definedName name="BalanzaModelo">[2]General!$F$9</definedName>
    <definedName name="BalanzaRango1" localSheetId="23">[1]General!$F$12</definedName>
    <definedName name="BalanzaRango1">[2]General!$F$12</definedName>
    <definedName name="BalanzaResol1" localSheetId="23">[1]General!$F$14</definedName>
    <definedName name="BalanzaResol1">[2]General!$F$14</definedName>
    <definedName name="BalanzaSerie" localSheetId="23">[1]General!$F$10</definedName>
    <definedName name="BalanzaSerie">[2]General!$F$10</definedName>
    <definedName name="BalanzaTipo" localSheetId="23">[1]General!$F$7</definedName>
    <definedName name="BalanzaTipo">[2]General!$F$7</definedName>
    <definedName name="CertCode" localSheetId="23">[1]General!$F$4</definedName>
    <definedName name="CertCode" localSheetId="2">#REF!</definedName>
    <definedName name="CertCode">#REF!</definedName>
    <definedName name="CertDate" localSheetId="23">[1]General!$F$5</definedName>
    <definedName name="CertDate" localSheetId="2">#REF!</definedName>
    <definedName name="CertDate">#REF!</definedName>
    <definedName name="CertHR" localSheetId="23">[1]General!$I$13</definedName>
    <definedName name="CertHR" localSheetId="2">#REF!</definedName>
    <definedName name="CertHR">#REF!</definedName>
    <definedName name="CertHRIncerti" localSheetId="23">[1]General!$I$14</definedName>
    <definedName name="CertHRIncerti" localSheetId="2">#REF!</definedName>
    <definedName name="CertHRIncerti">#REF!</definedName>
    <definedName name="Certific">[2]General!$L$5</definedName>
    <definedName name="CertNum" localSheetId="23">[1]General!$F$3</definedName>
    <definedName name="CertNum" localSheetId="2">#REF!</definedName>
    <definedName name="CertNum">#REF!</definedName>
    <definedName name="CertPres" localSheetId="23">[1]General!$I$18</definedName>
    <definedName name="CertPres" localSheetId="2">#REF!</definedName>
    <definedName name="CertPres">#REF!</definedName>
    <definedName name="CertPresIncert" localSheetId="23">[1]General!$I$19</definedName>
    <definedName name="CertPresIncert" localSheetId="2">#REF!</definedName>
    <definedName name="CertPresIncert">#REF!</definedName>
    <definedName name="CertTempC" localSheetId="23">[1]General!$I$8</definedName>
    <definedName name="CertTempC" localSheetId="2">#REF!</definedName>
    <definedName name="CertTempC">#REF!</definedName>
    <definedName name="CertTempIncerti" localSheetId="23">[1]General!$I$9</definedName>
    <definedName name="CertTempIncerti" localSheetId="2">#REF!</definedName>
    <definedName name="CertTempIncerti">#REF!</definedName>
    <definedName name="cl" localSheetId="23">#REF!</definedName>
    <definedName name="cl" localSheetId="2">#REF!</definedName>
    <definedName name="cl">#REF!</definedName>
    <definedName name="Clases" localSheetId="24">'[3]Entrada de datos'!$AB$10:$AB$59</definedName>
    <definedName name="Clases" localSheetId="2">'[3]Entrada de datos'!$AB$10:$AB$59</definedName>
    <definedName name="Clases">datos!$AB$10:$AB$59</definedName>
    <definedName name="Clases_masas" localSheetId="23">'[1]BD Patron'!$X$16:$AD$16</definedName>
    <definedName name="Clases_masas" localSheetId="2">#REF!</definedName>
    <definedName name="Clases_masas">#REF!</definedName>
    <definedName name="ClientAdr" localSheetId="23">[1]General!$L$4</definedName>
    <definedName name="ClientAdr" localSheetId="2">#REF!</definedName>
    <definedName name="ClientAdr">#REF!</definedName>
    <definedName name="ClientName" localSheetId="23">[1]General!$L$3</definedName>
    <definedName name="ClientName" localSheetId="2">#REF!</definedName>
    <definedName name="ClientName">#REF!</definedName>
    <definedName name="ClientPlace" localSheetId="23">[1]General!$L$5</definedName>
    <definedName name="ClientPlace" localSheetId="2">#REF!</definedName>
    <definedName name="ClientPlace">#REF!</definedName>
    <definedName name="CodigoID" localSheetId="23">#REF!</definedName>
    <definedName name="CodigoID" localSheetId="2">#REF!</definedName>
    <definedName name="CodigoID">#REF!</definedName>
    <definedName name="decim" localSheetId="23">'[1]kU(E)'!$G$4</definedName>
    <definedName name="decim" localSheetId="2">#REF!</definedName>
    <definedName name="decim">#REF!</definedName>
    <definedName name="deltaMconv" localSheetId="23">'[1]BD Patron'!$AM$17:$AT$28</definedName>
    <definedName name="deltaMconv" localSheetId="2">#REF!</definedName>
    <definedName name="deltaMconv">#REF!</definedName>
    <definedName name="deltaT" localSheetId="23">'[1]BD Patron'!$AM$16:$AT$16</definedName>
    <definedName name="deltaT" localSheetId="2">#REF!</definedName>
    <definedName name="deltaT">#REF!</definedName>
    <definedName name="Dens_aire_cal" localSheetId="24">'[3]Entrada de datos'!$E$5</definedName>
    <definedName name="Dens_aire_cal" localSheetId="23">#REF!</definedName>
    <definedName name="Dens_aire_cal" localSheetId="2">'[3]Entrada de datos'!$E$5</definedName>
    <definedName name="Dens_aire_cal">#REF!</definedName>
    <definedName name="Dens_aire_conv" localSheetId="24">'[3]Entrada de datos'!$AR$10</definedName>
    <definedName name="Dens_aire_conv" localSheetId="2">'[3]Entrada de datos'!$AR$10</definedName>
    <definedName name="Dens_aire_conv">datos!$AR$10</definedName>
    <definedName name="Densidad" localSheetId="24">'[3]Entrada de datos'!$AR$11:$AR$19</definedName>
    <definedName name="Densidad" localSheetId="2">'[3]Entrada de datos'!$AR$11:$AR$19</definedName>
    <definedName name="Densidad">datos!$AR$11:$AR$19</definedName>
    <definedName name="ecc_error_max" localSheetId="23">[1]Calibración!$C$52</definedName>
    <definedName name="ecc_error_max">[2]Calibración!$C$52</definedName>
    <definedName name="fred" localSheetId="23">#REF!</definedName>
    <definedName name="fred">#REF!</definedName>
    <definedName name="ince" localSheetId="23">#REF!</definedName>
    <definedName name="ince" localSheetId="2">#REF!</definedName>
    <definedName name="ince">#REF!</definedName>
    <definedName name="Incertidumbre_densidad" localSheetId="24">'[3]Entrada de datos'!$AS$11:$AS$19</definedName>
    <definedName name="Incertidumbre_densidad" localSheetId="2">'[3]Entrada de datos'!$AS$11:$AS$19</definedName>
    <definedName name="Incertidumbre_densidad">datos!$AS$11:$AS$19</definedName>
    <definedName name="Incertidumbres">'[3]Entrada de datos'!$Z$10:$Z$59</definedName>
    <definedName name="mas" localSheetId="23">#REF!</definedName>
    <definedName name="mas" localSheetId="2">#REF!</definedName>
    <definedName name="mas">#REF!</definedName>
    <definedName name="MasaConstruccion" localSheetId="23">#REF!</definedName>
    <definedName name="MasaConstruccion" localSheetId="2">#REF!</definedName>
    <definedName name="MasaConstruccion">#REF!</definedName>
    <definedName name="MasaForma" localSheetId="23">#REF!</definedName>
    <definedName name="MasaForma" localSheetId="2">#REF!</definedName>
    <definedName name="MasaForma">#REF!</definedName>
    <definedName name="MasaMarca" localSheetId="23">#REF!</definedName>
    <definedName name="MasaMarca" localSheetId="2">#REF!</definedName>
    <definedName name="MasaMarca">#REF!</definedName>
    <definedName name="MasaMaterial" localSheetId="23">#REF!</definedName>
    <definedName name="MasaMaterial" localSheetId="2">#REF!</definedName>
    <definedName name="MasaMaterial">#REF!</definedName>
    <definedName name="MasaModelo" localSheetId="23">#REF!</definedName>
    <definedName name="MasaModelo" localSheetId="2">#REF!</definedName>
    <definedName name="MasaModelo">#REF!</definedName>
    <definedName name="Masas" localSheetId="24">'[3]Entrada de datos'!$U$10:$U$75</definedName>
    <definedName name="Masas" localSheetId="23">'[4]datos '!$U$10:$U$75</definedName>
    <definedName name="Masas" localSheetId="2">'[3]Entrada de datos'!$U$10:$U$75</definedName>
    <definedName name="Masas">datos!$U$10:$U$75</definedName>
    <definedName name="MasaSerie" localSheetId="23">#REF!</definedName>
    <definedName name="MasaSerie" localSheetId="2">#REF!</definedName>
    <definedName name="MasaSerie">#REF!</definedName>
    <definedName name="MasaSuperficie" localSheetId="23">#REF!</definedName>
    <definedName name="MasaSuperficie" localSheetId="2">#REF!</definedName>
    <definedName name="MasaSuperficie">#REF!</definedName>
    <definedName name="Materiales" localSheetId="24">'[3]Entrada de datos'!$AQ$11:$AQ$19</definedName>
    <definedName name="Materiales" localSheetId="2">'[3]Entrada de datos'!$AQ$11:$AQ$19</definedName>
    <definedName name="Materiales">datos!$AQ$11:$AQ$19</definedName>
    <definedName name="MnomDeltaT" localSheetId="23">'[1]BD Patron'!$AL$17:$AL$28</definedName>
    <definedName name="MnomDeltaT" localSheetId="2">#REF!</definedName>
    <definedName name="MnomDeltaT">#REF!</definedName>
    <definedName name="Mnominal" localSheetId="24">'[3]Entrada de datos'!$AH$11:$AH$34</definedName>
    <definedName name="Mnominal" localSheetId="2">'[3]Entrada de datos'!$AH$11:$AH$34</definedName>
    <definedName name="Mnominal">datos!$AH$11:$AH$34</definedName>
    <definedName name="MuestraTipo" localSheetId="23">#REF!</definedName>
    <definedName name="MuestraTipo" localSheetId="2">#REF!</definedName>
    <definedName name="MuestraTipo">#REF!</definedName>
    <definedName name="N_clases" localSheetId="24">'[3]Entrada de datos'!$AI$10:$AO$10</definedName>
    <definedName name="N_clases" localSheetId="2">'[3]Entrada de datos'!$AI$10:$AO$10</definedName>
    <definedName name="N_clases">datos!$AI$10:$AO$10</definedName>
    <definedName name="num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atrons_List">[1]!tblCompPuntosCal[mN1],[1]!tblCompPuntosCal[mN2],[1]!tblCompPuntosCal[mN3],[1]!tblCompPuntosCal[mN4],[1]!tblCompPuntosCal[mN5],[1]!tblCompPuntosCal[mN6],[1]!tblCompPuntosCal[mN7],[1]!tblCompPuntosCal[mN8],[1]!tblCompPuntosCal[mN9],[1]!tblCompPuntosCal[mN10]</definedName>
    <definedName name="punto1">[1]Calibración!$O$3</definedName>
    <definedName name="punto10">[1]Calibración!$BZ$3</definedName>
    <definedName name="punto2">[1]Calibración!$V$3</definedName>
    <definedName name="punto3">[1]Calibración!$AC$3</definedName>
    <definedName name="punto4">[1]Calibración!$AJ$3</definedName>
    <definedName name="punto5">[1]Calibración!$AQ$3</definedName>
    <definedName name="punto6">[1]Calibración!$AX$3</definedName>
    <definedName name="punto7">[1]Calibración!$BE$3</definedName>
    <definedName name="punto8">[1]Calibración!$BL$3</definedName>
    <definedName name="punto9">[1]Calibración!$BS$3</definedName>
    <definedName name="PuntoEcc">[1]Calibración!$C$48</definedName>
    <definedName name="PuntoRep">[1]Calibración!$C$37</definedName>
    <definedName name="resol_balanza" localSheetId="23">#REF!</definedName>
    <definedName name="resol_balanza" localSheetId="2">#REF!</definedName>
    <definedName name="resol_balanza">#REF!</definedName>
    <definedName name="sigma_b1">[1]Calibración!$R$3</definedName>
    <definedName name="sigma_b10">[1]Calibración!$CC$3</definedName>
    <definedName name="sigma_b2">[1]Calibración!$Y$3</definedName>
    <definedName name="sigma_b3">[1]Calibración!$AF$3</definedName>
    <definedName name="sigma_b4">[1]Calibración!$AM$3</definedName>
    <definedName name="sigma_b5">[1]Calibración!$AT$3</definedName>
    <definedName name="sigma_b6">[1]Calibración!$BA$3</definedName>
    <definedName name="sigma_b7">[1]Calibración!$BH$3</definedName>
    <definedName name="sigma_b8">[1]Calibración!$BO$3</definedName>
    <definedName name="sigma_b9">[1]Calibración!$BV$3</definedName>
    <definedName name="sigma_c1">[1]Calibración!$P$3</definedName>
    <definedName name="sigma_c10">[1]Calibración!$CA$3</definedName>
    <definedName name="sigma_c2">[1]Calibración!$W$3</definedName>
    <definedName name="sigma_c3">[1]Calibración!$AD$3</definedName>
    <definedName name="sigma_c4">[1]Calibración!$AK$3</definedName>
    <definedName name="sigma_c5">[1]Calibración!$AR$3</definedName>
    <definedName name="sigma_c6">[1]Calibración!$AY$3</definedName>
    <definedName name="sigma_c7">[1]Calibración!$BF$3</definedName>
    <definedName name="sigma_c8">[1]Calibración!$BM$3</definedName>
    <definedName name="sigma_c9">[1]Calibración!$BT$3</definedName>
    <definedName name="sigma_conv1">[1]Calibración!$S$3</definedName>
    <definedName name="sigma_conv10">[1]Calibración!$CD$3</definedName>
    <definedName name="sigma_conv2">[1]Calibración!$Z$3</definedName>
    <definedName name="sigma_conv3">[1]Calibración!$AG$3</definedName>
    <definedName name="sigma_conv4">[1]Calibración!$AN$3</definedName>
    <definedName name="sigma_conv5">[1]Calibración!$AU$3</definedName>
    <definedName name="sigma_conv6">[1]Calibración!$BB$3</definedName>
    <definedName name="sigma_conv7">[1]Calibración!$BI$3</definedName>
    <definedName name="sigma_conv8">[1]Calibración!$BP$3</definedName>
    <definedName name="sigma_conv9">[1]Calibración!$BW$3</definedName>
    <definedName name="sigma_D1">[1]Calibración!$Q$3</definedName>
    <definedName name="sigma_D10">[1]Calibración!$CB$3</definedName>
    <definedName name="sigma_D2">[1]Calibración!$X$3</definedName>
    <definedName name="sigma_D3">[1]Calibración!$AE$3</definedName>
    <definedName name="sigma_D4">[1]Calibración!$AL$3</definedName>
    <definedName name="sigma_D5">[1]Calibración!$AS$3</definedName>
    <definedName name="sigma_D6">[1]Calibración!$AZ$3</definedName>
    <definedName name="sigma_D7">[1]Calibración!$BG$3</definedName>
    <definedName name="sigma_D8">[1]Calibración!$BN$3</definedName>
    <definedName name="sigma_D9">[1]Calibración!$BU$3</definedName>
    <definedName name="switch">'[1]kU(E)'!$A$11</definedName>
    <definedName name="tblComp_U" localSheetId="23">#REF!</definedName>
    <definedName name="tblComp_U" localSheetId="2">#REF!</definedName>
    <definedName name="tblComp_U">#REF!</definedName>
    <definedName name="tolerancia" localSheetId="23">'[1]BD Patron'!$X$17:$AD$40</definedName>
    <definedName name="tolerancia" localSheetId="2">#REF!</definedName>
    <definedName name="tolerancia">#REF!</definedName>
    <definedName name="Tolerancias" localSheetId="24">'[3]Entrada de datos'!$AI$11:$AO$34</definedName>
    <definedName name="Tolerancias" localSheetId="2">'[3]Entrada de datos'!$AI$11:$AO$34</definedName>
    <definedName name="Tolerancias">datos!$AI$11:$AO$34</definedName>
    <definedName name="u_ecc">[1]Calibración!$C$54</definedName>
    <definedName name="u_rep" localSheetId="23">[1]Calibración!$G$45</definedName>
    <definedName name="u_rep">[2]Calibración!$G$45</definedName>
    <definedName name="unidad" localSheetId="27">[5]Calibración!$F$7</definedName>
    <definedName name="UnidadEscala" localSheetId="23">[1]Calibración!$C$15</definedName>
    <definedName name="UnidadEscala">[2]Calibración!$C$15</definedName>
    <definedName name="UnidadPatron">[1]Calibración!$C$40</definedName>
    <definedName name="Valor_convencional" localSheetId="24">'[3]Entrada de datos'!$Y$10:$Y$75</definedName>
    <definedName name="Valor_convencional" localSheetId="2">'[3]Entrada de datos'!$Y$10:$Y$75</definedName>
    <definedName name="Valor_convencional">datos!$Y$10:$Y$75</definedName>
    <definedName name="Valor_nominal" localSheetId="24">'[3]Entrada de datos'!$V$10:$V$75</definedName>
    <definedName name="Valor_nominal" localSheetId="2">'[3]Entrada de datos'!$V$10:$V$75</definedName>
    <definedName name="Valor_nominal">datos!$V$10:$V$75</definedName>
    <definedName name="vconv" localSheetId="23">#REF!</definedName>
    <definedName name="vconv" localSheetId="2">#REF!</definedName>
    <definedName name="vconv">#REF!</definedName>
    <definedName name="Vnominal" localSheetId="23">'[1]BD Patron'!$W$17:$W$40</definedName>
    <definedName name="Vnominal" localSheetId="2">#REF!</definedName>
    <definedName name="Vnomin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1" i="63" l="1"/>
  <c r="E32" i="63"/>
  <c r="E33" i="63"/>
  <c r="E34" i="63"/>
  <c r="E35" i="63"/>
  <c r="E36" i="63"/>
  <c r="E37" i="63"/>
  <c r="E38" i="63"/>
  <c r="E39" i="63"/>
  <c r="E40" i="63"/>
  <c r="E41" i="63"/>
  <c r="E42" i="63"/>
  <c r="E43" i="63"/>
  <c r="E44" i="63"/>
  <c r="E45" i="63"/>
  <c r="E46" i="63"/>
  <c r="E47" i="63"/>
  <c r="E48" i="63"/>
  <c r="Q32" i="63"/>
  <c r="U32" i="63"/>
  <c r="Q33" i="63"/>
  <c r="U33" i="63"/>
  <c r="Q34" i="63"/>
  <c r="U34" i="63"/>
  <c r="Q35" i="63"/>
  <c r="U35" i="63"/>
  <c r="Q36" i="63"/>
  <c r="U36" i="63"/>
  <c r="Q37" i="63"/>
  <c r="U37" i="63"/>
  <c r="Q38" i="63"/>
  <c r="U38" i="63"/>
  <c r="Q39" i="63"/>
  <c r="U39" i="63"/>
  <c r="Q40" i="63"/>
  <c r="U40" i="63"/>
  <c r="Q41" i="63"/>
  <c r="U41" i="63"/>
  <c r="Q42" i="63"/>
  <c r="U42" i="63"/>
  <c r="Q43" i="63"/>
  <c r="U43" i="63"/>
  <c r="Q44" i="63"/>
  <c r="U44" i="63"/>
  <c r="Q45" i="63"/>
  <c r="U45" i="63"/>
  <c r="Q46" i="63"/>
  <c r="U46" i="63"/>
  <c r="Q47" i="63"/>
  <c r="U47" i="63"/>
  <c r="Q48" i="63"/>
  <c r="U48" i="63"/>
  <c r="U30" i="63"/>
  <c r="U31" i="63"/>
  <c r="Q30" i="63"/>
  <c r="Q31" i="63"/>
  <c r="J12" i="66"/>
  <c r="J11" i="66"/>
  <c r="J10" i="66"/>
  <c r="J9" i="66"/>
  <c r="J8" i="66"/>
  <c r="J7" i="66"/>
  <c r="J6" i="66"/>
  <c r="R23" i="55"/>
  <c r="R24" i="55" s="1"/>
  <c r="R23" i="54"/>
  <c r="R23" i="53"/>
  <c r="R25" i="53" s="1"/>
  <c r="R23" i="52"/>
  <c r="R23" i="51"/>
  <c r="R23" i="50"/>
  <c r="R23" i="49"/>
  <c r="R23" i="48"/>
  <c r="R23" i="47"/>
  <c r="R23" i="46"/>
  <c r="R23" i="45"/>
  <c r="R23" i="44"/>
  <c r="R23" i="43"/>
  <c r="R23" i="42"/>
  <c r="R29" i="42" s="1"/>
  <c r="R23" i="41"/>
  <c r="R23" i="40"/>
  <c r="R23" i="39"/>
  <c r="R23" i="38"/>
  <c r="R23" i="37"/>
  <c r="L14" i="66"/>
  <c r="K14" i="66"/>
  <c r="L13" i="66"/>
  <c r="K13" i="66"/>
  <c r="L12" i="66"/>
  <c r="K12" i="66"/>
  <c r="I12" i="66"/>
  <c r="L11" i="66"/>
  <c r="K11" i="66"/>
  <c r="I11" i="66"/>
  <c r="L10" i="66"/>
  <c r="K10" i="66"/>
  <c r="I10" i="66"/>
  <c r="L9" i="66"/>
  <c r="K9" i="66"/>
  <c r="I9" i="66"/>
  <c r="L8" i="66"/>
  <c r="K8" i="66"/>
  <c r="I8" i="66"/>
  <c r="L7" i="66"/>
  <c r="K7" i="66"/>
  <c r="I7" i="66"/>
  <c r="L6" i="66"/>
  <c r="K6" i="66"/>
  <c r="I6" i="66"/>
  <c r="R22" i="55" l="1"/>
  <c r="R24" i="53"/>
  <c r="R22" i="52"/>
  <c r="R22" i="49"/>
  <c r="R28" i="49"/>
  <c r="R26" i="49"/>
  <c r="R24" i="38"/>
  <c r="R26" i="55"/>
  <c r="R27" i="55"/>
  <c r="R25" i="55"/>
  <c r="R28" i="55"/>
  <c r="R24" i="54"/>
  <c r="R26" i="54"/>
  <c r="R27" i="54"/>
  <c r="R28" i="54"/>
  <c r="R25" i="54"/>
  <c r="R22" i="54"/>
  <c r="R27" i="53"/>
  <c r="R26" i="53"/>
  <c r="R28" i="53"/>
  <c r="R22" i="53"/>
  <c r="R24" i="52"/>
  <c r="R25" i="52"/>
  <c r="R26" i="52"/>
  <c r="R27" i="52"/>
  <c r="R28" i="52"/>
  <c r="R24" i="51"/>
  <c r="R25" i="51"/>
  <c r="R26" i="51"/>
  <c r="R27" i="51"/>
  <c r="R28" i="51"/>
  <c r="R22" i="51"/>
  <c r="R25" i="50"/>
  <c r="R26" i="50"/>
  <c r="R27" i="50"/>
  <c r="R28" i="50"/>
  <c r="R24" i="50"/>
  <c r="R22" i="50"/>
  <c r="R24" i="49"/>
  <c r="R25" i="49"/>
  <c r="R27" i="49"/>
  <c r="R22" i="48"/>
  <c r="R24" i="48"/>
  <c r="R25" i="48"/>
  <c r="R26" i="48"/>
  <c r="R27" i="48"/>
  <c r="R28" i="48"/>
  <c r="R26" i="47"/>
  <c r="R27" i="47"/>
  <c r="R24" i="47"/>
  <c r="R25" i="47"/>
  <c r="R28" i="47"/>
  <c r="R22" i="47"/>
  <c r="R22" i="46"/>
  <c r="R26" i="46"/>
  <c r="R24" i="46"/>
  <c r="R25" i="46"/>
  <c r="R27" i="46"/>
  <c r="R28" i="46"/>
  <c r="R27" i="45"/>
  <c r="R25" i="45"/>
  <c r="R28" i="45"/>
  <c r="R26" i="45"/>
  <c r="R24" i="45"/>
  <c r="R22" i="45"/>
  <c r="R24" i="44"/>
  <c r="R25" i="44"/>
  <c r="R22" i="44"/>
  <c r="R26" i="44"/>
  <c r="R27" i="44"/>
  <c r="R28" i="44"/>
  <c r="R24" i="43"/>
  <c r="R25" i="43"/>
  <c r="R26" i="43"/>
  <c r="R22" i="43"/>
  <c r="R27" i="43"/>
  <c r="R28" i="43"/>
  <c r="R24" i="42"/>
  <c r="R25" i="42"/>
  <c r="R22" i="42"/>
  <c r="R30" i="42"/>
  <c r="R31" i="42"/>
  <c r="R26" i="42"/>
  <c r="R27" i="42"/>
  <c r="R28" i="42"/>
  <c r="R25" i="41"/>
  <c r="R27" i="41"/>
  <c r="R28" i="41"/>
  <c r="R24" i="41"/>
  <c r="R26" i="41"/>
  <c r="R22" i="41"/>
  <c r="R24" i="40"/>
  <c r="R25" i="40"/>
  <c r="R22" i="40"/>
  <c r="R26" i="40"/>
  <c r="R27" i="40"/>
  <c r="R28" i="40"/>
  <c r="R25" i="39"/>
  <c r="R22" i="39"/>
  <c r="R26" i="39"/>
  <c r="R24" i="39"/>
  <c r="R27" i="39"/>
  <c r="R28" i="39"/>
  <c r="R26" i="38"/>
  <c r="R27" i="38"/>
  <c r="R25" i="38"/>
  <c r="R28" i="38"/>
  <c r="R22" i="38"/>
  <c r="R24" i="37"/>
  <c r="R25" i="37"/>
  <c r="R27" i="37"/>
  <c r="R28" i="37"/>
  <c r="R22" i="37"/>
  <c r="R26" i="37"/>
  <c r="D347" i="56" l="1"/>
  <c r="E347" i="56" s="1"/>
  <c r="F347" i="56" s="1"/>
  <c r="D279" i="56"/>
  <c r="E279" i="56" s="1"/>
  <c r="F279" i="56" s="1"/>
  <c r="D177" i="56"/>
  <c r="E177" i="56" s="1"/>
  <c r="F177" i="56" s="1"/>
  <c r="D75" i="56"/>
  <c r="E75" i="56" s="1"/>
  <c r="F75" i="56" s="1"/>
  <c r="H5" i="56"/>
  <c r="N21" i="63" l="1"/>
  <c r="N14" i="63"/>
  <c r="N13" i="63"/>
  <c r="N11" i="63"/>
  <c r="N9" i="63"/>
  <c r="O6" i="55"/>
  <c r="O5" i="55"/>
  <c r="N6" i="55"/>
  <c r="N5" i="55"/>
  <c r="M6" i="55"/>
  <c r="M5" i="55"/>
  <c r="L6" i="55"/>
  <c r="L5" i="55"/>
  <c r="K6" i="55"/>
  <c r="K5" i="55"/>
  <c r="J6" i="55"/>
  <c r="J5" i="55"/>
  <c r="I6" i="55"/>
  <c r="I5" i="55"/>
  <c r="O6" i="54"/>
  <c r="O5" i="54"/>
  <c r="N6" i="54"/>
  <c r="N5" i="54"/>
  <c r="M6" i="54"/>
  <c r="M5" i="54"/>
  <c r="L6" i="54"/>
  <c r="L5" i="54"/>
  <c r="K6" i="54"/>
  <c r="K5" i="54"/>
  <c r="J6" i="54"/>
  <c r="J5" i="54"/>
  <c r="I6" i="54"/>
  <c r="I5" i="54"/>
  <c r="O6" i="53"/>
  <c r="O5" i="53"/>
  <c r="N6" i="53"/>
  <c r="N5" i="53"/>
  <c r="M6" i="53"/>
  <c r="M5" i="53"/>
  <c r="L6" i="53"/>
  <c r="L5" i="53"/>
  <c r="K6" i="53"/>
  <c r="K5" i="53"/>
  <c r="J6" i="53"/>
  <c r="J5" i="53"/>
  <c r="I6" i="53"/>
  <c r="I5" i="53"/>
  <c r="O6" i="52"/>
  <c r="O5" i="52"/>
  <c r="N6" i="52"/>
  <c r="N5" i="52"/>
  <c r="M6" i="52"/>
  <c r="M5" i="52"/>
  <c r="L6" i="52"/>
  <c r="L5" i="52"/>
  <c r="K6" i="52"/>
  <c r="K5" i="52"/>
  <c r="J6" i="52"/>
  <c r="J5" i="52"/>
  <c r="I6" i="52"/>
  <c r="I5" i="52"/>
  <c r="O6" i="51"/>
  <c r="O5" i="51"/>
  <c r="N6" i="51"/>
  <c r="N5" i="51"/>
  <c r="M6" i="51"/>
  <c r="M5" i="51"/>
  <c r="L6" i="51"/>
  <c r="L5" i="51"/>
  <c r="K6" i="51"/>
  <c r="K5" i="51"/>
  <c r="J6" i="51"/>
  <c r="J5" i="51"/>
  <c r="I6" i="51"/>
  <c r="I5" i="51"/>
  <c r="O6" i="50"/>
  <c r="O5" i="50"/>
  <c r="N6" i="50"/>
  <c r="N5" i="50"/>
  <c r="M6" i="50"/>
  <c r="M5" i="50"/>
  <c r="L6" i="50"/>
  <c r="L5" i="50"/>
  <c r="K6" i="50"/>
  <c r="K5" i="50"/>
  <c r="J6" i="50"/>
  <c r="J5" i="50"/>
  <c r="I6" i="50"/>
  <c r="I5" i="50"/>
  <c r="O6" i="49"/>
  <c r="O5" i="49"/>
  <c r="N6" i="49"/>
  <c r="N5" i="49"/>
  <c r="M6" i="49"/>
  <c r="M5" i="49"/>
  <c r="L6" i="49"/>
  <c r="L5" i="49"/>
  <c r="K6" i="49"/>
  <c r="K5" i="49"/>
  <c r="J6" i="49"/>
  <c r="J5" i="49"/>
  <c r="I6" i="49"/>
  <c r="I5" i="49"/>
  <c r="O6" i="48"/>
  <c r="O5" i="48"/>
  <c r="N6" i="48"/>
  <c r="N5" i="48"/>
  <c r="M6" i="48"/>
  <c r="M5" i="48"/>
  <c r="L6" i="48"/>
  <c r="L5" i="48"/>
  <c r="K6" i="48"/>
  <c r="K5" i="48"/>
  <c r="J6" i="48"/>
  <c r="J5" i="48"/>
  <c r="I6" i="48"/>
  <c r="I5" i="48"/>
  <c r="O6" i="47"/>
  <c r="O5" i="47"/>
  <c r="N6" i="47"/>
  <c r="N5" i="47"/>
  <c r="M6" i="47"/>
  <c r="M5" i="47"/>
  <c r="L6" i="47"/>
  <c r="L5" i="47"/>
  <c r="K6" i="47"/>
  <c r="K5" i="47"/>
  <c r="J6" i="47"/>
  <c r="J5" i="47"/>
  <c r="I6" i="47"/>
  <c r="I5" i="47"/>
  <c r="O6" i="46"/>
  <c r="O5" i="46"/>
  <c r="N6" i="46"/>
  <c r="N5" i="46"/>
  <c r="M6" i="46"/>
  <c r="M5" i="46"/>
  <c r="L6" i="46"/>
  <c r="L5" i="46"/>
  <c r="K6" i="46"/>
  <c r="K5" i="46"/>
  <c r="J6" i="46"/>
  <c r="J5" i="46"/>
  <c r="I6" i="46"/>
  <c r="I5" i="46"/>
  <c r="O6" i="45"/>
  <c r="O5" i="45"/>
  <c r="N6" i="45"/>
  <c r="N5" i="45"/>
  <c r="M6" i="45"/>
  <c r="M5" i="45"/>
  <c r="L6" i="45"/>
  <c r="L5" i="45"/>
  <c r="K6" i="45"/>
  <c r="K5" i="45"/>
  <c r="J6" i="45"/>
  <c r="J5" i="45"/>
  <c r="I6" i="45"/>
  <c r="I5" i="45"/>
  <c r="O6" i="44"/>
  <c r="O5" i="44"/>
  <c r="N6" i="44"/>
  <c r="N5" i="44"/>
  <c r="M6" i="44"/>
  <c r="M5" i="44"/>
  <c r="L6" i="44"/>
  <c r="L5" i="44"/>
  <c r="K6" i="44"/>
  <c r="K5" i="44"/>
  <c r="J6" i="44"/>
  <c r="J5" i="44"/>
  <c r="I6" i="44"/>
  <c r="I5" i="44"/>
  <c r="O6" i="43"/>
  <c r="O5" i="43"/>
  <c r="N6" i="43"/>
  <c r="N5" i="43"/>
  <c r="M6" i="43"/>
  <c r="M5" i="43"/>
  <c r="L6" i="43"/>
  <c r="L5" i="43"/>
  <c r="K6" i="43"/>
  <c r="K5" i="43"/>
  <c r="J6" i="43"/>
  <c r="J5" i="43"/>
  <c r="I6" i="43"/>
  <c r="I5" i="43"/>
  <c r="O6" i="42"/>
  <c r="O5" i="42"/>
  <c r="N6" i="42"/>
  <c r="N5" i="42"/>
  <c r="M6" i="42"/>
  <c r="M5" i="42"/>
  <c r="L6" i="42"/>
  <c r="L5" i="42"/>
  <c r="K6" i="42"/>
  <c r="K5" i="42"/>
  <c r="J6" i="42"/>
  <c r="J5" i="42"/>
  <c r="I6" i="42"/>
  <c r="I5" i="42"/>
  <c r="O6" i="41"/>
  <c r="O5" i="41"/>
  <c r="N6" i="41"/>
  <c r="N5" i="41"/>
  <c r="M6" i="41"/>
  <c r="M5" i="41"/>
  <c r="L6" i="41"/>
  <c r="L5" i="41"/>
  <c r="K6" i="41"/>
  <c r="K5" i="41"/>
  <c r="J6" i="41"/>
  <c r="J5" i="41"/>
  <c r="I6" i="41"/>
  <c r="I5" i="41"/>
  <c r="O6" i="40"/>
  <c r="O5" i="40"/>
  <c r="N6" i="40"/>
  <c r="N5" i="40"/>
  <c r="M6" i="40"/>
  <c r="M5" i="40"/>
  <c r="L6" i="40"/>
  <c r="L5" i="40"/>
  <c r="K6" i="40"/>
  <c r="K5" i="40"/>
  <c r="J6" i="40"/>
  <c r="J5" i="40"/>
  <c r="I6" i="40"/>
  <c r="I5" i="40"/>
  <c r="O6" i="39"/>
  <c r="O5" i="39"/>
  <c r="N6" i="39"/>
  <c r="N5" i="39"/>
  <c r="M6" i="39"/>
  <c r="M5" i="39"/>
  <c r="L6" i="39"/>
  <c r="L5" i="39"/>
  <c r="K6" i="39"/>
  <c r="K5" i="39"/>
  <c r="J6" i="39"/>
  <c r="J5" i="39"/>
  <c r="I6" i="39"/>
  <c r="I5" i="39"/>
  <c r="O6" i="38"/>
  <c r="O5" i="38"/>
  <c r="N6" i="38"/>
  <c r="M6" i="38"/>
  <c r="L6" i="38"/>
  <c r="K6" i="38"/>
  <c r="J6" i="38"/>
  <c r="I6" i="38"/>
  <c r="N5" i="38"/>
  <c r="M5" i="38"/>
  <c r="L5" i="38"/>
  <c r="K5" i="38"/>
  <c r="J5" i="38"/>
  <c r="I5" i="38"/>
  <c r="O6" i="37"/>
  <c r="N6" i="37"/>
  <c r="M6" i="37"/>
  <c r="L6" i="37"/>
  <c r="K6" i="37"/>
  <c r="J6" i="37"/>
  <c r="I6" i="37"/>
  <c r="O5" i="37"/>
  <c r="N5" i="37"/>
  <c r="M5" i="37"/>
  <c r="L5" i="37"/>
  <c r="K5" i="37"/>
  <c r="J5" i="37"/>
  <c r="I5" i="37"/>
  <c r="C33" i="55"/>
  <c r="C28" i="55"/>
  <c r="C23" i="55"/>
  <c r="C16" i="55"/>
  <c r="C33" i="54"/>
  <c r="C28" i="54"/>
  <c r="C23" i="54"/>
  <c r="C16" i="54"/>
  <c r="C33" i="53"/>
  <c r="C28" i="53"/>
  <c r="C23" i="53"/>
  <c r="C16" i="53"/>
  <c r="C33" i="52"/>
  <c r="C28" i="52"/>
  <c r="C23" i="52"/>
  <c r="C16" i="52"/>
  <c r="C33" i="51"/>
  <c r="C28" i="51"/>
  <c r="C23" i="51"/>
  <c r="C16" i="51"/>
  <c r="C33" i="50"/>
  <c r="C28" i="50"/>
  <c r="C23" i="50"/>
  <c r="C16" i="50"/>
  <c r="C33" i="49"/>
  <c r="C28" i="49"/>
  <c r="C23" i="49"/>
  <c r="C16" i="49"/>
  <c r="C33" i="48"/>
  <c r="C28" i="48"/>
  <c r="C23" i="48"/>
  <c r="C16" i="48"/>
  <c r="C33" i="47"/>
  <c r="C28" i="47"/>
  <c r="C23" i="47"/>
  <c r="C16" i="47"/>
  <c r="C33" i="46"/>
  <c r="C28" i="46"/>
  <c r="C23" i="46"/>
  <c r="C16" i="46"/>
  <c r="C33" i="45"/>
  <c r="C28" i="45"/>
  <c r="C23" i="45"/>
  <c r="C16" i="45"/>
  <c r="C33" i="44"/>
  <c r="C28" i="44"/>
  <c r="C23" i="44"/>
  <c r="C16" i="44"/>
  <c r="C33" i="43"/>
  <c r="C28" i="43"/>
  <c r="C23" i="43"/>
  <c r="C16" i="43"/>
  <c r="C33" i="42"/>
  <c r="C28" i="42"/>
  <c r="C23" i="42"/>
  <c r="C16" i="42"/>
  <c r="C33" i="41"/>
  <c r="C28" i="41"/>
  <c r="C23" i="41"/>
  <c r="C16" i="41"/>
  <c r="C33" i="40"/>
  <c r="C28" i="40"/>
  <c r="C23" i="40"/>
  <c r="C16" i="40"/>
  <c r="C33" i="39"/>
  <c r="C28" i="39"/>
  <c r="C23" i="39"/>
  <c r="C16" i="39"/>
  <c r="C33" i="38"/>
  <c r="C28" i="38"/>
  <c r="C23" i="38"/>
  <c r="C16" i="38"/>
  <c r="C33" i="37"/>
  <c r="C28" i="37"/>
  <c r="C23" i="37"/>
  <c r="C16" i="37"/>
  <c r="C34" i="55"/>
  <c r="C34" i="54"/>
  <c r="C34" i="53"/>
  <c r="C34" i="52"/>
  <c r="C34" i="51"/>
  <c r="C34" i="50"/>
  <c r="C34" i="49"/>
  <c r="C24" i="49"/>
  <c r="C34" i="48"/>
  <c r="C34" i="47"/>
  <c r="C34" i="46"/>
  <c r="C34" i="45"/>
  <c r="C34" i="44"/>
  <c r="C34" i="43"/>
  <c r="C34" i="42"/>
  <c r="C34" i="41"/>
  <c r="C34" i="40"/>
  <c r="C34" i="39"/>
  <c r="C34" i="38"/>
  <c r="C34" i="37"/>
  <c r="I332" i="55"/>
  <c r="C24" i="55" s="1"/>
  <c r="I332" i="54"/>
  <c r="I332" i="53"/>
  <c r="C24" i="53" s="1"/>
  <c r="I332" i="52"/>
  <c r="I332" i="51"/>
  <c r="I332" i="50"/>
  <c r="C29" i="50" s="1"/>
  <c r="I332" i="49"/>
  <c r="I332" i="48"/>
  <c r="I332" i="47"/>
  <c r="C24" i="47" s="1"/>
  <c r="I332" i="46"/>
  <c r="C29" i="46" s="1"/>
  <c r="I332" i="45"/>
  <c r="C29" i="45" s="1"/>
  <c r="I332" i="44"/>
  <c r="I332" i="43"/>
  <c r="I332" i="42"/>
  <c r="I332" i="41"/>
  <c r="C24" i="41" s="1"/>
  <c r="I332" i="40"/>
  <c r="C24" i="40" s="1"/>
  <c r="I332" i="39"/>
  <c r="I332" i="38"/>
  <c r="I332" i="37"/>
  <c r="C24" i="37" s="1"/>
  <c r="H327" i="55"/>
  <c r="C17" i="55" s="1"/>
  <c r="H327" i="54"/>
  <c r="C17" i="54" s="1"/>
  <c r="H327" i="53"/>
  <c r="C17" i="53" s="1"/>
  <c r="H327" i="52"/>
  <c r="C17" i="52" s="1"/>
  <c r="H327" i="51"/>
  <c r="C17" i="51" s="1"/>
  <c r="H327" i="50"/>
  <c r="C17" i="50" s="1"/>
  <c r="H327" i="49"/>
  <c r="C17" i="49" s="1"/>
  <c r="H327" i="48"/>
  <c r="C17" i="48" s="1"/>
  <c r="H327" i="47"/>
  <c r="C17" i="47" s="1"/>
  <c r="H327" i="46"/>
  <c r="C17" i="46" s="1"/>
  <c r="H327" i="45"/>
  <c r="C17" i="45" s="1"/>
  <c r="H177" i="56" s="1"/>
  <c r="H327" i="44"/>
  <c r="C17" i="44" s="1"/>
  <c r="H327" i="43"/>
  <c r="C17" i="43" s="1"/>
  <c r="H327" i="42"/>
  <c r="C17" i="42" s="1"/>
  <c r="H327" i="41"/>
  <c r="C17" i="41" s="1"/>
  <c r="H327" i="40"/>
  <c r="C17" i="40" s="1"/>
  <c r="H327" i="39"/>
  <c r="C17" i="39" s="1"/>
  <c r="H327" i="38"/>
  <c r="C17" i="38" s="1"/>
  <c r="H327" i="37"/>
  <c r="C17" i="37" s="1"/>
  <c r="C3" i="55"/>
  <c r="C3" i="54"/>
  <c r="C3" i="53"/>
  <c r="C3" i="52"/>
  <c r="C3" i="51"/>
  <c r="C3" i="50"/>
  <c r="C3" i="49"/>
  <c r="C3" i="48"/>
  <c r="C3" i="47"/>
  <c r="C3" i="46"/>
  <c r="C3" i="45"/>
  <c r="C3" i="44"/>
  <c r="C3" i="43"/>
  <c r="C3" i="42"/>
  <c r="C3" i="41"/>
  <c r="C3" i="40"/>
  <c r="C3" i="39"/>
  <c r="C3" i="38"/>
  <c r="C3" i="37"/>
  <c r="C8" i="37" s="1"/>
  <c r="C34" i="17"/>
  <c r="C33" i="17"/>
  <c r="C23" i="17"/>
  <c r="I332" i="17"/>
  <c r="C28" i="17"/>
  <c r="H327" i="17"/>
  <c r="C17" i="17" s="1"/>
  <c r="H24" i="56" s="1"/>
  <c r="C3" i="17"/>
  <c r="C8" i="17" s="1"/>
  <c r="R23" i="17"/>
  <c r="R28" i="17" s="1"/>
  <c r="J6" i="17"/>
  <c r="O6" i="17"/>
  <c r="O5" i="17"/>
  <c r="N6" i="17"/>
  <c r="N5" i="17"/>
  <c r="M6" i="17"/>
  <c r="L6" i="17"/>
  <c r="M5" i="17"/>
  <c r="L5" i="17"/>
  <c r="K6" i="17"/>
  <c r="K5" i="17"/>
  <c r="J5" i="17"/>
  <c r="I6" i="17"/>
  <c r="I5" i="17"/>
  <c r="Z192" i="55"/>
  <c r="Y192" i="55"/>
  <c r="P192" i="55"/>
  <c r="N192" i="55"/>
  <c r="Z191" i="55"/>
  <c r="Y191" i="55"/>
  <c r="P191" i="55"/>
  <c r="N191" i="55"/>
  <c r="Z190" i="55"/>
  <c r="Y190" i="55"/>
  <c r="P190" i="55"/>
  <c r="N190" i="55"/>
  <c r="Z189" i="55"/>
  <c r="Y189" i="55"/>
  <c r="P189" i="55"/>
  <c r="N189" i="55"/>
  <c r="Z188" i="55"/>
  <c r="Y188" i="55"/>
  <c r="P188" i="55"/>
  <c r="N188" i="55"/>
  <c r="Z187" i="55"/>
  <c r="Y187" i="55"/>
  <c r="P187" i="55"/>
  <c r="N187" i="55"/>
  <c r="Z186" i="55"/>
  <c r="Y186" i="55"/>
  <c r="P186" i="55"/>
  <c r="N186" i="55"/>
  <c r="Z185" i="55"/>
  <c r="Y185" i="55"/>
  <c r="P185" i="55"/>
  <c r="N185" i="55"/>
  <c r="Z184" i="55"/>
  <c r="Y184" i="55"/>
  <c r="P184" i="55"/>
  <c r="N184" i="55"/>
  <c r="Z183" i="55"/>
  <c r="Y183" i="55"/>
  <c r="P183" i="55"/>
  <c r="N183" i="55"/>
  <c r="Z182" i="55"/>
  <c r="Y182" i="55"/>
  <c r="P182" i="55"/>
  <c r="N182" i="55"/>
  <c r="Z181" i="55"/>
  <c r="Y181" i="55"/>
  <c r="P181" i="55"/>
  <c r="N181" i="55"/>
  <c r="Z180" i="55"/>
  <c r="Y180" i="55"/>
  <c r="P180" i="55"/>
  <c r="N180" i="55"/>
  <c r="Z179" i="55"/>
  <c r="Y179" i="55"/>
  <c r="P179" i="55"/>
  <c r="N179" i="55"/>
  <c r="Z178" i="55"/>
  <c r="Y178" i="55"/>
  <c r="P178" i="55"/>
  <c r="N178" i="55"/>
  <c r="Z177" i="55"/>
  <c r="Y177" i="55"/>
  <c r="P177" i="55"/>
  <c r="N177" i="55"/>
  <c r="Z176" i="55"/>
  <c r="Y176" i="55"/>
  <c r="P176" i="55"/>
  <c r="N176" i="55"/>
  <c r="Z175" i="55"/>
  <c r="Y175" i="55"/>
  <c r="P175" i="55"/>
  <c r="N175" i="55"/>
  <c r="Z174" i="55"/>
  <c r="Y174" i="55"/>
  <c r="P174" i="55"/>
  <c r="N174" i="55"/>
  <c r="Z173" i="55"/>
  <c r="Y173" i="55"/>
  <c r="P173" i="55"/>
  <c r="N173" i="55"/>
  <c r="Z172" i="55"/>
  <c r="Y172" i="55"/>
  <c r="P172" i="55"/>
  <c r="N172" i="55"/>
  <c r="Z171" i="55"/>
  <c r="Y171" i="55"/>
  <c r="P171" i="55"/>
  <c r="N171" i="55"/>
  <c r="Z170" i="55"/>
  <c r="Y170" i="55"/>
  <c r="P170" i="55"/>
  <c r="N170" i="55"/>
  <c r="Z169" i="55"/>
  <c r="Y169" i="55"/>
  <c r="P169" i="55"/>
  <c r="N169" i="55"/>
  <c r="Z168" i="55"/>
  <c r="Y168" i="55"/>
  <c r="P168" i="55"/>
  <c r="N168" i="55"/>
  <c r="Z167" i="55"/>
  <c r="Y167" i="55"/>
  <c r="P167" i="55"/>
  <c r="N167" i="55"/>
  <c r="Z166" i="55"/>
  <c r="Y166" i="55"/>
  <c r="P166" i="55"/>
  <c r="N166" i="55"/>
  <c r="Z165" i="55"/>
  <c r="Y165" i="55"/>
  <c r="P165" i="55"/>
  <c r="N165" i="55"/>
  <c r="Z164" i="55"/>
  <c r="Y164" i="55"/>
  <c r="P164" i="55"/>
  <c r="N164" i="55"/>
  <c r="Z163" i="55"/>
  <c r="Y163" i="55"/>
  <c r="P163" i="55"/>
  <c r="N163" i="55"/>
  <c r="Z162" i="55"/>
  <c r="Y162" i="55"/>
  <c r="P162" i="55"/>
  <c r="N162" i="55"/>
  <c r="Z161" i="55"/>
  <c r="Y161" i="55"/>
  <c r="P161" i="55"/>
  <c r="N161" i="55"/>
  <c r="Z160" i="55"/>
  <c r="Y160" i="55"/>
  <c r="P160" i="55"/>
  <c r="N160" i="55"/>
  <c r="Z159" i="55"/>
  <c r="Y159" i="55"/>
  <c r="P159" i="55"/>
  <c r="N159" i="55"/>
  <c r="Z158" i="55"/>
  <c r="Y158" i="55"/>
  <c r="P158" i="55"/>
  <c r="N158" i="55"/>
  <c r="Z157" i="55"/>
  <c r="Y157" i="55"/>
  <c r="P157" i="55"/>
  <c r="N157" i="55"/>
  <c r="Z156" i="55"/>
  <c r="Y156" i="55"/>
  <c r="P156" i="55"/>
  <c r="N156" i="55"/>
  <c r="Z155" i="55"/>
  <c r="Y155" i="55"/>
  <c r="P155" i="55"/>
  <c r="N155" i="55"/>
  <c r="Z154" i="55"/>
  <c r="Y154" i="55"/>
  <c r="P154" i="55"/>
  <c r="N154" i="55"/>
  <c r="Z153" i="55"/>
  <c r="Y153" i="55"/>
  <c r="P153" i="55"/>
  <c r="N153" i="55"/>
  <c r="Z152" i="55"/>
  <c r="Y152" i="55"/>
  <c r="P152" i="55"/>
  <c r="N152" i="55"/>
  <c r="Z151" i="55"/>
  <c r="Y151" i="55"/>
  <c r="P151" i="55"/>
  <c r="N151" i="55"/>
  <c r="Z150" i="55"/>
  <c r="Y150" i="55"/>
  <c r="P150" i="55"/>
  <c r="N150" i="55"/>
  <c r="Z149" i="55"/>
  <c r="Y149" i="55"/>
  <c r="P149" i="55"/>
  <c r="N149" i="55"/>
  <c r="Z148" i="55"/>
  <c r="Y148" i="55"/>
  <c r="P148" i="55"/>
  <c r="N148" i="55"/>
  <c r="Z147" i="55"/>
  <c r="Y147" i="55"/>
  <c r="P147" i="55"/>
  <c r="N147" i="55"/>
  <c r="Z146" i="55"/>
  <c r="Y146" i="55"/>
  <c r="P146" i="55"/>
  <c r="N146" i="55"/>
  <c r="Z145" i="55"/>
  <c r="Y145" i="55"/>
  <c r="P145" i="55"/>
  <c r="N145" i="55"/>
  <c r="Z144" i="55"/>
  <c r="Y144" i="55"/>
  <c r="P144" i="55"/>
  <c r="N144" i="55"/>
  <c r="Z143" i="55"/>
  <c r="Y143" i="55"/>
  <c r="P143" i="55"/>
  <c r="N143" i="55"/>
  <c r="Z142" i="55"/>
  <c r="Y142" i="55"/>
  <c r="P142" i="55"/>
  <c r="N142" i="55"/>
  <c r="Z141" i="55"/>
  <c r="Y141" i="55"/>
  <c r="P141" i="55"/>
  <c r="N141" i="55"/>
  <c r="Z140" i="55"/>
  <c r="Y140" i="55"/>
  <c r="P140" i="55"/>
  <c r="N140" i="55"/>
  <c r="Z139" i="55"/>
  <c r="Y139" i="55"/>
  <c r="P139" i="55"/>
  <c r="N139" i="55"/>
  <c r="Z138" i="55"/>
  <c r="Y138" i="55"/>
  <c r="P138" i="55"/>
  <c r="N138" i="55"/>
  <c r="Z137" i="55"/>
  <c r="Y137" i="55"/>
  <c r="P137" i="55"/>
  <c r="N137" i="55"/>
  <c r="Z136" i="55"/>
  <c r="Y136" i="55"/>
  <c r="P136" i="55"/>
  <c r="N136" i="55"/>
  <c r="Z135" i="55"/>
  <c r="Y135" i="55"/>
  <c r="P135" i="55"/>
  <c r="N135" i="55"/>
  <c r="Z134" i="55"/>
  <c r="Y134" i="55"/>
  <c r="P134" i="55"/>
  <c r="N134" i="55"/>
  <c r="Z133" i="55"/>
  <c r="Y133" i="55"/>
  <c r="P133" i="55"/>
  <c r="N133" i="55"/>
  <c r="Z132" i="55"/>
  <c r="Y132" i="55"/>
  <c r="P132" i="55"/>
  <c r="N132" i="55"/>
  <c r="Z131" i="55"/>
  <c r="Y131" i="55"/>
  <c r="P131" i="55"/>
  <c r="N131" i="55"/>
  <c r="Z130" i="55"/>
  <c r="Y130" i="55"/>
  <c r="P130" i="55"/>
  <c r="N130" i="55"/>
  <c r="Z129" i="55"/>
  <c r="Y129" i="55"/>
  <c r="P129" i="55"/>
  <c r="N129" i="55"/>
  <c r="Z128" i="55"/>
  <c r="Y128" i="55"/>
  <c r="P128" i="55"/>
  <c r="N128" i="55"/>
  <c r="Z127" i="55"/>
  <c r="Y127" i="55"/>
  <c r="P127" i="55"/>
  <c r="N127" i="55"/>
  <c r="Z126" i="55"/>
  <c r="Y126" i="55"/>
  <c r="P126" i="55"/>
  <c r="N126" i="55"/>
  <c r="Z125" i="55"/>
  <c r="Y125" i="55"/>
  <c r="P125" i="55"/>
  <c r="N125" i="55"/>
  <c r="Z124" i="55"/>
  <c r="Y124" i="55"/>
  <c r="P124" i="55"/>
  <c r="N124" i="55"/>
  <c r="Z123" i="55"/>
  <c r="Y123" i="55"/>
  <c r="P123" i="55"/>
  <c r="N123" i="55"/>
  <c r="Z122" i="55"/>
  <c r="Y122" i="55"/>
  <c r="P122" i="55"/>
  <c r="N122" i="55"/>
  <c r="Z121" i="55"/>
  <c r="Y121" i="55"/>
  <c r="P121" i="55"/>
  <c r="N121" i="55"/>
  <c r="Z120" i="55"/>
  <c r="Y120" i="55"/>
  <c r="P120" i="55"/>
  <c r="N120" i="55"/>
  <c r="Z119" i="55"/>
  <c r="Y119" i="55"/>
  <c r="P119" i="55"/>
  <c r="N119" i="55"/>
  <c r="Z118" i="55"/>
  <c r="Y118" i="55"/>
  <c r="P118" i="55"/>
  <c r="N118" i="55"/>
  <c r="Z117" i="55"/>
  <c r="Y117" i="55"/>
  <c r="P117" i="55"/>
  <c r="N117" i="55"/>
  <c r="Z116" i="55"/>
  <c r="Y116" i="55"/>
  <c r="P116" i="55"/>
  <c r="N116" i="55"/>
  <c r="Z115" i="55"/>
  <c r="Y115" i="55"/>
  <c r="P115" i="55"/>
  <c r="N115" i="55"/>
  <c r="Z114" i="55"/>
  <c r="Y114" i="55"/>
  <c r="P114" i="55"/>
  <c r="N114" i="55"/>
  <c r="Z113" i="55"/>
  <c r="Y113" i="55"/>
  <c r="P113" i="55"/>
  <c r="N113" i="55"/>
  <c r="Z112" i="55"/>
  <c r="Y112" i="55"/>
  <c r="P112" i="55"/>
  <c r="N112" i="55"/>
  <c r="Z111" i="55"/>
  <c r="Y111" i="55"/>
  <c r="P111" i="55"/>
  <c r="N111" i="55"/>
  <c r="Z110" i="55"/>
  <c r="Y110" i="55"/>
  <c r="P110" i="55"/>
  <c r="N110" i="55"/>
  <c r="Z109" i="55"/>
  <c r="Y109" i="55"/>
  <c r="P109" i="55"/>
  <c r="N109" i="55"/>
  <c r="Z108" i="55"/>
  <c r="Y108" i="55"/>
  <c r="P108" i="55"/>
  <c r="N108" i="55"/>
  <c r="Z107" i="55"/>
  <c r="Y107" i="55"/>
  <c r="P107" i="55"/>
  <c r="N107" i="55"/>
  <c r="Z106" i="55"/>
  <c r="Y106" i="55"/>
  <c r="P106" i="55"/>
  <c r="N106" i="55"/>
  <c r="Z105" i="55"/>
  <c r="Y105" i="55"/>
  <c r="P105" i="55"/>
  <c r="N105" i="55"/>
  <c r="Z104" i="55"/>
  <c r="Y104" i="55"/>
  <c r="P104" i="55"/>
  <c r="N104" i="55"/>
  <c r="Z103" i="55"/>
  <c r="Y103" i="55"/>
  <c r="P103" i="55"/>
  <c r="N103" i="55"/>
  <c r="Z102" i="55"/>
  <c r="Y102" i="55"/>
  <c r="P102" i="55"/>
  <c r="N102" i="55"/>
  <c r="Z101" i="55"/>
  <c r="Y101" i="55"/>
  <c r="P101" i="55"/>
  <c r="N101" i="55"/>
  <c r="Z100" i="55"/>
  <c r="R31" i="55" s="1"/>
  <c r="Y100" i="55"/>
  <c r="R30" i="55" s="1"/>
  <c r="P100" i="55"/>
  <c r="N100" i="55"/>
  <c r="Z99" i="55"/>
  <c r="Y99" i="55"/>
  <c r="P99" i="55"/>
  <c r="N99" i="55"/>
  <c r="Z98" i="55"/>
  <c r="Y98" i="55"/>
  <c r="P98" i="55"/>
  <c r="N98" i="55"/>
  <c r="Z97" i="55"/>
  <c r="Y97" i="55"/>
  <c r="P97" i="55"/>
  <c r="N97" i="55"/>
  <c r="Z192" i="54"/>
  <c r="Y192" i="54"/>
  <c r="P192" i="54"/>
  <c r="N192" i="54"/>
  <c r="Z191" i="54"/>
  <c r="Y191" i="54"/>
  <c r="P191" i="54"/>
  <c r="N191" i="54"/>
  <c r="Z190" i="54"/>
  <c r="Y190" i="54"/>
  <c r="P190" i="54"/>
  <c r="N190" i="54"/>
  <c r="Z189" i="54"/>
  <c r="Y189" i="54"/>
  <c r="P189" i="54"/>
  <c r="N189" i="54"/>
  <c r="Z188" i="54"/>
  <c r="Y188" i="54"/>
  <c r="P188" i="54"/>
  <c r="N188" i="54"/>
  <c r="Z187" i="54"/>
  <c r="Y187" i="54"/>
  <c r="P187" i="54"/>
  <c r="N187" i="54"/>
  <c r="Z186" i="54"/>
  <c r="Y186" i="54"/>
  <c r="P186" i="54"/>
  <c r="N186" i="54"/>
  <c r="Z185" i="54"/>
  <c r="Y185" i="54"/>
  <c r="P185" i="54"/>
  <c r="N185" i="54"/>
  <c r="Z184" i="54"/>
  <c r="Y184" i="54"/>
  <c r="P184" i="54"/>
  <c r="N184" i="54"/>
  <c r="Z183" i="54"/>
  <c r="Y183" i="54"/>
  <c r="P183" i="54"/>
  <c r="N183" i="54"/>
  <c r="Z182" i="54"/>
  <c r="Y182" i="54"/>
  <c r="P182" i="54"/>
  <c r="N182" i="54"/>
  <c r="Z181" i="54"/>
  <c r="Y181" i="54"/>
  <c r="P181" i="54"/>
  <c r="N181" i="54"/>
  <c r="Z180" i="54"/>
  <c r="Y180" i="54"/>
  <c r="P180" i="54"/>
  <c r="N180" i="54"/>
  <c r="Z179" i="54"/>
  <c r="Y179" i="54"/>
  <c r="P179" i="54"/>
  <c r="N179" i="54"/>
  <c r="Z178" i="54"/>
  <c r="Y178" i="54"/>
  <c r="P178" i="54"/>
  <c r="N178" i="54"/>
  <c r="Z177" i="54"/>
  <c r="Y177" i="54"/>
  <c r="P177" i="54"/>
  <c r="N177" i="54"/>
  <c r="Z176" i="54"/>
  <c r="Y176" i="54"/>
  <c r="P176" i="54"/>
  <c r="N176" i="54"/>
  <c r="Z175" i="54"/>
  <c r="Y175" i="54"/>
  <c r="P175" i="54"/>
  <c r="N175" i="54"/>
  <c r="Z174" i="54"/>
  <c r="Y174" i="54"/>
  <c r="P174" i="54"/>
  <c r="N174" i="54"/>
  <c r="Z173" i="54"/>
  <c r="Y173" i="54"/>
  <c r="P173" i="54"/>
  <c r="N173" i="54"/>
  <c r="Z172" i="54"/>
  <c r="Y172" i="54"/>
  <c r="P172" i="54"/>
  <c r="N172" i="54"/>
  <c r="Z171" i="54"/>
  <c r="Y171" i="54"/>
  <c r="P171" i="54"/>
  <c r="N171" i="54"/>
  <c r="Z170" i="54"/>
  <c r="Y170" i="54"/>
  <c r="P170" i="54"/>
  <c r="N170" i="54"/>
  <c r="Z169" i="54"/>
  <c r="Y169" i="54"/>
  <c r="P169" i="54"/>
  <c r="N169" i="54"/>
  <c r="Z168" i="54"/>
  <c r="Y168" i="54"/>
  <c r="P168" i="54"/>
  <c r="N168" i="54"/>
  <c r="Z167" i="54"/>
  <c r="Y167" i="54"/>
  <c r="P167" i="54"/>
  <c r="N167" i="54"/>
  <c r="Z166" i="54"/>
  <c r="Y166" i="54"/>
  <c r="P166" i="54"/>
  <c r="N166" i="54"/>
  <c r="Z165" i="54"/>
  <c r="Y165" i="54"/>
  <c r="P165" i="54"/>
  <c r="N165" i="54"/>
  <c r="Z164" i="54"/>
  <c r="Y164" i="54"/>
  <c r="P164" i="54"/>
  <c r="N164" i="54"/>
  <c r="Z163" i="54"/>
  <c r="Y163" i="54"/>
  <c r="P163" i="54"/>
  <c r="N163" i="54"/>
  <c r="Z162" i="54"/>
  <c r="Y162" i="54"/>
  <c r="P162" i="54"/>
  <c r="N162" i="54"/>
  <c r="Z161" i="54"/>
  <c r="Y161" i="54"/>
  <c r="P161" i="54"/>
  <c r="N161" i="54"/>
  <c r="Z160" i="54"/>
  <c r="Y160" i="54"/>
  <c r="P160" i="54"/>
  <c r="N160" i="54"/>
  <c r="Z159" i="54"/>
  <c r="Y159" i="54"/>
  <c r="P159" i="54"/>
  <c r="N159" i="54"/>
  <c r="Z158" i="54"/>
  <c r="Y158" i="54"/>
  <c r="P158" i="54"/>
  <c r="N158" i="54"/>
  <c r="Z157" i="54"/>
  <c r="Y157" i="54"/>
  <c r="P157" i="54"/>
  <c r="N157" i="54"/>
  <c r="Z156" i="54"/>
  <c r="Y156" i="54"/>
  <c r="P156" i="54"/>
  <c r="N156" i="54"/>
  <c r="Z155" i="54"/>
  <c r="Y155" i="54"/>
  <c r="P155" i="54"/>
  <c r="N155" i="54"/>
  <c r="Z154" i="54"/>
  <c r="Y154" i="54"/>
  <c r="P154" i="54"/>
  <c r="N154" i="54"/>
  <c r="Z153" i="54"/>
  <c r="Y153" i="54"/>
  <c r="P153" i="54"/>
  <c r="N153" i="54"/>
  <c r="Z152" i="54"/>
  <c r="Y152" i="54"/>
  <c r="P152" i="54"/>
  <c r="N152" i="54"/>
  <c r="Z151" i="54"/>
  <c r="Y151" i="54"/>
  <c r="P151" i="54"/>
  <c r="N151" i="54"/>
  <c r="Z150" i="54"/>
  <c r="Y150" i="54"/>
  <c r="P150" i="54"/>
  <c r="N150" i="54"/>
  <c r="Z149" i="54"/>
  <c r="Y149" i="54"/>
  <c r="P149" i="54"/>
  <c r="N149" i="54"/>
  <c r="Z148" i="54"/>
  <c r="Y148" i="54"/>
  <c r="P148" i="54"/>
  <c r="N148" i="54"/>
  <c r="Z147" i="54"/>
  <c r="Y147" i="54"/>
  <c r="P147" i="54"/>
  <c r="N147" i="54"/>
  <c r="Z146" i="54"/>
  <c r="Y146" i="54"/>
  <c r="P146" i="54"/>
  <c r="N146" i="54"/>
  <c r="Z145" i="54"/>
  <c r="Y145" i="54"/>
  <c r="P145" i="54"/>
  <c r="N145" i="54"/>
  <c r="Z144" i="54"/>
  <c r="Y144" i="54"/>
  <c r="P144" i="54"/>
  <c r="N144" i="54"/>
  <c r="Z143" i="54"/>
  <c r="Y143" i="54"/>
  <c r="P143" i="54"/>
  <c r="N143" i="54"/>
  <c r="Z142" i="54"/>
  <c r="Y142" i="54"/>
  <c r="P142" i="54"/>
  <c r="N142" i="54"/>
  <c r="Z141" i="54"/>
  <c r="Y141" i="54"/>
  <c r="P141" i="54"/>
  <c r="N141" i="54"/>
  <c r="Z140" i="54"/>
  <c r="Y140" i="54"/>
  <c r="P140" i="54"/>
  <c r="N140" i="54"/>
  <c r="Z139" i="54"/>
  <c r="Y139" i="54"/>
  <c r="P139" i="54"/>
  <c r="N139" i="54"/>
  <c r="Z138" i="54"/>
  <c r="Y138" i="54"/>
  <c r="P138" i="54"/>
  <c r="N138" i="54"/>
  <c r="Z137" i="54"/>
  <c r="Y137" i="54"/>
  <c r="P137" i="54"/>
  <c r="N137" i="54"/>
  <c r="Z136" i="54"/>
  <c r="Y136" i="54"/>
  <c r="P136" i="54"/>
  <c r="N136" i="54"/>
  <c r="Z135" i="54"/>
  <c r="Y135" i="54"/>
  <c r="P135" i="54"/>
  <c r="N135" i="54"/>
  <c r="Z134" i="54"/>
  <c r="Y134" i="54"/>
  <c r="P134" i="54"/>
  <c r="N134" i="54"/>
  <c r="Z133" i="54"/>
  <c r="Y133" i="54"/>
  <c r="P133" i="54"/>
  <c r="N133" i="54"/>
  <c r="Z132" i="54"/>
  <c r="Y132" i="54"/>
  <c r="P132" i="54"/>
  <c r="N132" i="54"/>
  <c r="Z131" i="54"/>
  <c r="Y131" i="54"/>
  <c r="P131" i="54"/>
  <c r="N131" i="54"/>
  <c r="Z130" i="54"/>
  <c r="Y130" i="54"/>
  <c r="P130" i="54"/>
  <c r="N130" i="54"/>
  <c r="Z129" i="54"/>
  <c r="Y129" i="54"/>
  <c r="P129" i="54"/>
  <c r="N129" i="54"/>
  <c r="Z128" i="54"/>
  <c r="Y128" i="54"/>
  <c r="P128" i="54"/>
  <c r="N128" i="54"/>
  <c r="Z127" i="54"/>
  <c r="Y127" i="54"/>
  <c r="P127" i="54"/>
  <c r="N127" i="54"/>
  <c r="Z126" i="54"/>
  <c r="Y126" i="54"/>
  <c r="P126" i="54"/>
  <c r="N126" i="54"/>
  <c r="Z125" i="54"/>
  <c r="Y125" i="54"/>
  <c r="P125" i="54"/>
  <c r="N125" i="54"/>
  <c r="Z124" i="54"/>
  <c r="Y124" i="54"/>
  <c r="P124" i="54"/>
  <c r="N124" i="54"/>
  <c r="Z123" i="54"/>
  <c r="Y123" i="54"/>
  <c r="P123" i="54"/>
  <c r="N123" i="54"/>
  <c r="Z122" i="54"/>
  <c r="Y122" i="54"/>
  <c r="P122" i="54"/>
  <c r="N122" i="54"/>
  <c r="Z121" i="54"/>
  <c r="Y121" i="54"/>
  <c r="P121" i="54"/>
  <c r="N121" i="54"/>
  <c r="Z120" i="54"/>
  <c r="Y120" i="54"/>
  <c r="P120" i="54"/>
  <c r="N120" i="54"/>
  <c r="Z119" i="54"/>
  <c r="Y119" i="54"/>
  <c r="P119" i="54"/>
  <c r="N119" i="54"/>
  <c r="Z118" i="54"/>
  <c r="Y118" i="54"/>
  <c r="P118" i="54"/>
  <c r="N118" i="54"/>
  <c r="Z117" i="54"/>
  <c r="Y117" i="54"/>
  <c r="P117" i="54"/>
  <c r="N117" i="54"/>
  <c r="Z116" i="54"/>
  <c r="Y116" i="54"/>
  <c r="P116" i="54"/>
  <c r="N116" i="54"/>
  <c r="Z115" i="54"/>
  <c r="Y115" i="54"/>
  <c r="P115" i="54"/>
  <c r="N115" i="54"/>
  <c r="Z114" i="54"/>
  <c r="Y114" i="54"/>
  <c r="P114" i="54"/>
  <c r="N114" i="54"/>
  <c r="Z113" i="54"/>
  <c r="Y113" i="54"/>
  <c r="P113" i="54"/>
  <c r="N113" i="54"/>
  <c r="Z112" i="54"/>
  <c r="Y112" i="54"/>
  <c r="P112" i="54"/>
  <c r="N112" i="54"/>
  <c r="Z111" i="54"/>
  <c r="Y111" i="54"/>
  <c r="P111" i="54"/>
  <c r="N111" i="54"/>
  <c r="Z110" i="54"/>
  <c r="Y110" i="54"/>
  <c r="P110" i="54"/>
  <c r="N110" i="54"/>
  <c r="Z109" i="54"/>
  <c r="Y109" i="54"/>
  <c r="P109" i="54"/>
  <c r="N109" i="54"/>
  <c r="Z108" i="54"/>
  <c r="Y108" i="54"/>
  <c r="P108" i="54"/>
  <c r="N108" i="54"/>
  <c r="Z107" i="54"/>
  <c r="Y107" i="54"/>
  <c r="P107" i="54"/>
  <c r="N107" i="54"/>
  <c r="Z106" i="54"/>
  <c r="Y106" i="54"/>
  <c r="P106" i="54"/>
  <c r="N106" i="54"/>
  <c r="Z105" i="54"/>
  <c r="Y105" i="54"/>
  <c r="P105" i="54"/>
  <c r="N105" i="54"/>
  <c r="Z104" i="54"/>
  <c r="Y104" i="54"/>
  <c r="P104" i="54"/>
  <c r="N104" i="54"/>
  <c r="Z103" i="54"/>
  <c r="Y103" i="54"/>
  <c r="P103" i="54"/>
  <c r="N103" i="54"/>
  <c r="Z102" i="54"/>
  <c r="Y102" i="54"/>
  <c r="P102" i="54"/>
  <c r="N102" i="54"/>
  <c r="Z101" i="54"/>
  <c r="Y101" i="54"/>
  <c r="P101" i="54"/>
  <c r="N101" i="54"/>
  <c r="Z100" i="54"/>
  <c r="R31" i="54" s="1"/>
  <c r="Y100" i="54"/>
  <c r="R30" i="54" s="1"/>
  <c r="P100" i="54"/>
  <c r="N100" i="54"/>
  <c r="Z99" i="54"/>
  <c r="Y99" i="54"/>
  <c r="P99" i="54"/>
  <c r="N99" i="54"/>
  <c r="Z98" i="54"/>
  <c r="Y98" i="54"/>
  <c r="P98" i="54"/>
  <c r="N98" i="54"/>
  <c r="Z97" i="54"/>
  <c r="Y97" i="54"/>
  <c r="P97" i="54"/>
  <c r="N97" i="54"/>
  <c r="Z192" i="53"/>
  <c r="Y192" i="53"/>
  <c r="P192" i="53"/>
  <c r="N192" i="53"/>
  <c r="Z191" i="53"/>
  <c r="Y191" i="53"/>
  <c r="P191" i="53"/>
  <c r="N191" i="53"/>
  <c r="Z190" i="53"/>
  <c r="Y190" i="53"/>
  <c r="P190" i="53"/>
  <c r="N190" i="53"/>
  <c r="Z189" i="53"/>
  <c r="Y189" i="53"/>
  <c r="P189" i="53"/>
  <c r="N189" i="53"/>
  <c r="Z188" i="53"/>
  <c r="Y188" i="53"/>
  <c r="P188" i="53"/>
  <c r="N188" i="53"/>
  <c r="Z187" i="53"/>
  <c r="Y187" i="53"/>
  <c r="P187" i="53"/>
  <c r="N187" i="53"/>
  <c r="Z186" i="53"/>
  <c r="Y186" i="53"/>
  <c r="P186" i="53"/>
  <c r="N186" i="53"/>
  <c r="Z185" i="53"/>
  <c r="Y185" i="53"/>
  <c r="P185" i="53"/>
  <c r="N185" i="53"/>
  <c r="Z184" i="53"/>
  <c r="Y184" i="53"/>
  <c r="P184" i="53"/>
  <c r="N184" i="53"/>
  <c r="Z183" i="53"/>
  <c r="Y183" i="53"/>
  <c r="P183" i="53"/>
  <c r="N183" i="53"/>
  <c r="Z182" i="53"/>
  <c r="Y182" i="53"/>
  <c r="P182" i="53"/>
  <c r="N182" i="53"/>
  <c r="Z181" i="53"/>
  <c r="Y181" i="53"/>
  <c r="P181" i="53"/>
  <c r="N181" i="53"/>
  <c r="Z180" i="53"/>
  <c r="Y180" i="53"/>
  <c r="P180" i="53"/>
  <c r="N180" i="53"/>
  <c r="Z179" i="53"/>
  <c r="Y179" i="53"/>
  <c r="P179" i="53"/>
  <c r="N179" i="53"/>
  <c r="Z178" i="53"/>
  <c r="Y178" i="53"/>
  <c r="P178" i="53"/>
  <c r="N178" i="53"/>
  <c r="Z177" i="53"/>
  <c r="Y177" i="53"/>
  <c r="P177" i="53"/>
  <c r="N177" i="53"/>
  <c r="Z176" i="53"/>
  <c r="Y176" i="53"/>
  <c r="P176" i="53"/>
  <c r="N176" i="53"/>
  <c r="Z175" i="53"/>
  <c r="Y175" i="53"/>
  <c r="P175" i="53"/>
  <c r="N175" i="53"/>
  <c r="Z174" i="53"/>
  <c r="Y174" i="53"/>
  <c r="P174" i="53"/>
  <c r="N174" i="53"/>
  <c r="Z173" i="53"/>
  <c r="Y173" i="53"/>
  <c r="P173" i="53"/>
  <c r="N173" i="53"/>
  <c r="Z172" i="53"/>
  <c r="Y172" i="53"/>
  <c r="P172" i="53"/>
  <c r="N172" i="53"/>
  <c r="Z171" i="53"/>
  <c r="Y171" i="53"/>
  <c r="P171" i="53"/>
  <c r="N171" i="53"/>
  <c r="Z170" i="53"/>
  <c r="Y170" i="53"/>
  <c r="P170" i="53"/>
  <c r="N170" i="53"/>
  <c r="Z169" i="53"/>
  <c r="Y169" i="53"/>
  <c r="P169" i="53"/>
  <c r="N169" i="53"/>
  <c r="Z168" i="53"/>
  <c r="Y168" i="53"/>
  <c r="P168" i="53"/>
  <c r="N168" i="53"/>
  <c r="Z167" i="53"/>
  <c r="Y167" i="53"/>
  <c r="P167" i="53"/>
  <c r="N167" i="53"/>
  <c r="Z166" i="53"/>
  <c r="Y166" i="53"/>
  <c r="P166" i="53"/>
  <c r="N166" i="53"/>
  <c r="Z165" i="53"/>
  <c r="Y165" i="53"/>
  <c r="P165" i="53"/>
  <c r="N165" i="53"/>
  <c r="Z164" i="53"/>
  <c r="Y164" i="53"/>
  <c r="P164" i="53"/>
  <c r="N164" i="53"/>
  <c r="Z163" i="53"/>
  <c r="Y163" i="53"/>
  <c r="P163" i="53"/>
  <c r="N163" i="53"/>
  <c r="Z162" i="53"/>
  <c r="Y162" i="53"/>
  <c r="P162" i="53"/>
  <c r="N162" i="53"/>
  <c r="Z161" i="53"/>
  <c r="Y161" i="53"/>
  <c r="P161" i="53"/>
  <c r="N161" i="53"/>
  <c r="Z160" i="53"/>
  <c r="Y160" i="53"/>
  <c r="P160" i="53"/>
  <c r="N160" i="53"/>
  <c r="Z159" i="53"/>
  <c r="Y159" i="53"/>
  <c r="P159" i="53"/>
  <c r="N159" i="53"/>
  <c r="Z158" i="53"/>
  <c r="Y158" i="53"/>
  <c r="P158" i="53"/>
  <c r="N158" i="53"/>
  <c r="Z157" i="53"/>
  <c r="Y157" i="53"/>
  <c r="P157" i="53"/>
  <c r="N157" i="53"/>
  <c r="Z156" i="53"/>
  <c r="Y156" i="53"/>
  <c r="P156" i="53"/>
  <c r="N156" i="53"/>
  <c r="Z155" i="53"/>
  <c r="Y155" i="53"/>
  <c r="P155" i="53"/>
  <c r="N155" i="53"/>
  <c r="Z154" i="53"/>
  <c r="Y154" i="53"/>
  <c r="P154" i="53"/>
  <c r="N154" i="53"/>
  <c r="Z153" i="53"/>
  <c r="Y153" i="53"/>
  <c r="P153" i="53"/>
  <c r="N153" i="53"/>
  <c r="Z152" i="53"/>
  <c r="Y152" i="53"/>
  <c r="P152" i="53"/>
  <c r="N152" i="53"/>
  <c r="Z151" i="53"/>
  <c r="Y151" i="53"/>
  <c r="P151" i="53"/>
  <c r="N151" i="53"/>
  <c r="Z150" i="53"/>
  <c r="Y150" i="53"/>
  <c r="P150" i="53"/>
  <c r="N150" i="53"/>
  <c r="Z149" i="53"/>
  <c r="Y149" i="53"/>
  <c r="P149" i="53"/>
  <c r="N149" i="53"/>
  <c r="Z148" i="53"/>
  <c r="Y148" i="53"/>
  <c r="P148" i="53"/>
  <c r="N148" i="53"/>
  <c r="Z147" i="53"/>
  <c r="Y147" i="53"/>
  <c r="P147" i="53"/>
  <c r="N147" i="53"/>
  <c r="Z146" i="53"/>
  <c r="Y146" i="53"/>
  <c r="P146" i="53"/>
  <c r="N146" i="53"/>
  <c r="Z145" i="53"/>
  <c r="Y145" i="53"/>
  <c r="P145" i="53"/>
  <c r="N145" i="53"/>
  <c r="Z144" i="53"/>
  <c r="Y144" i="53"/>
  <c r="P144" i="53"/>
  <c r="N144" i="53"/>
  <c r="Z143" i="53"/>
  <c r="Y143" i="53"/>
  <c r="P143" i="53"/>
  <c r="N143" i="53"/>
  <c r="Z142" i="53"/>
  <c r="Y142" i="53"/>
  <c r="P142" i="53"/>
  <c r="N142" i="53"/>
  <c r="Z141" i="53"/>
  <c r="Y141" i="53"/>
  <c r="P141" i="53"/>
  <c r="N141" i="53"/>
  <c r="Z140" i="53"/>
  <c r="Y140" i="53"/>
  <c r="P140" i="53"/>
  <c r="N140" i="53"/>
  <c r="Z139" i="53"/>
  <c r="Y139" i="53"/>
  <c r="P139" i="53"/>
  <c r="N139" i="53"/>
  <c r="Z138" i="53"/>
  <c r="Y138" i="53"/>
  <c r="P138" i="53"/>
  <c r="N138" i="53"/>
  <c r="Z137" i="53"/>
  <c r="Y137" i="53"/>
  <c r="P137" i="53"/>
  <c r="N137" i="53"/>
  <c r="Z136" i="53"/>
  <c r="Y136" i="53"/>
  <c r="P136" i="53"/>
  <c r="N136" i="53"/>
  <c r="Z135" i="53"/>
  <c r="Y135" i="53"/>
  <c r="P135" i="53"/>
  <c r="N135" i="53"/>
  <c r="Z134" i="53"/>
  <c r="Y134" i="53"/>
  <c r="P134" i="53"/>
  <c r="N134" i="53"/>
  <c r="Z133" i="53"/>
  <c r="Y133" i="53"/>
  <c r="P133" i="53"/>
  <c r="N133" i="53"/>
  <c r="Z132" i="53"/>
  <c r="Y132" i="53"/>
  <c r="P132" i="53"/>
  <c r="N132" i="53"/>
  <c r="Z131" i="53"/>
  <c r="Y131" i="53"/>
  <c r="P131" i="53"/>
  <c r="N131" i="53"/>
  <c r="Z130" i="53"/>
  <c r="Y130" i="53"/>
  <c r="P130" i="53"/>
  <c r="N130" i="53"/>
  <c r="Z129" i="53"/>
  <c r="Y129" i="53"/>
  <c r="P129" i="53"/>
  <c r="N129" i="53"/>
  <c r="Z128" i="53"/>
  <c r="Y128" i="53"/>
  <c r="P128" i="53"/>
  <c r="N128" i="53"/>
  <c r="Z127" i="53"/>
  <c r="Y127" i="53"/>
  <c r="P127" i="53"/>
  <c r="N127" i="53"/>
  <c r="Z126" i="53"/>
  <c r="Y126" i="53"/>
  <c r="P126" i="53"/>
  <c r="N126" i="53"/>
  <c r="Z125" i="53"/>
  <c r="Y125" i="53"/>
  <c r="P125" i="53"/>
  <c r="N125" i="53"/>
  <c r="Z124" i="53"/>
  <c r="Y124" i="53"/>
  <c r="P124" i="53"/>
  <c r="N124" i="53"/>
  <c r="Z123" i="53"/>
  <c r="Y123" i="53"/>
  <c r="P123" i="53"/>
  <c r="N123" i="53"/>
  <c r="Z122" i="53"/>
  <c r="Y122" i="53"/>
  <c r="P122" i="53"/>
  <c r="N122" i="53"/>
  <c r="Z121" i="53"/>
  <c r="Y121" i="53"/>
  <c r="P121" i="53"/>
  <c r="N121" i="53"/>
  <c r="Z120" i="53"/>
  <c r="Y120" i="53"/>
  <c r="P120" i="53"/>
  <c r="N120" i="53"/>
  <c r="Z119" i="53"/>
  <c r="Y119" i="53"/>
  <c r="P119" i="53"/>
  <c r="N119" i="53"/>
  <c r="Z118" i="53"/>
  <c r="Y118" i="53"/>
  <c r="P118" i="53"/>
  <c r="N118" i="53"/>
  <c r="Z117" i="53"/>
  <c r="Y117" i="53"/>
  <c r="P117" i="53"/>
  <c r="N117" i="53"/>
  <c r="Z116" i="53"/>
  <c r="Y116" i="53"/>
  <c r="P116" i="53"/>
  <c r="N116" i="53"/>
  <c r="Z115" i="53"/>
  <c r="Y115" i="53"/>
  <c r="P115" i="53"/>
  <c r="N115" i="53"/>
  <c r="Z114" i="53"/>
  <c r="Y114" i="53"/>
  <c r="P114" i="53"/>
  <c r="N114" i="53"/>
  <c r="Z113" i="53"/>
  <c r="Y113" i="53"/>
  <c r="P113" i="53"/>
  <c r="N113" i="53"/>
  <c r="Z112" i="53"/>
  <c r="Y112" i="53"/>
  <c r="P112" i="53"/>
  <c r="N112" i="53"/>
  <c r="Z111" i="53"/>
  <c r="Y111" i="53"/>
  <c r="P111" i="53"/>
  <c r="N111" i="53"/>
  <c r="Z110" i="53"/>
  <c r="Y110" i="53"/>
  <c r="P110" i="53"/>
  <c r="N110" i="53"/>
  <c r="Z109" i="53"/>
  <c r="Y109" i="53"/>
  <c r="P109" i="53"/>
  <c r="N109" i="53"/>
  <c r="Z108" i="53"/>
  <c r="Y108" i="53"/>
  <c r="P108" i="53"/>
  <c r="N108" i="53"/>
  <c r="Z107" i="53"/>
  <c r="Y107" i="53"/>
  <c r="P107" i="53"/>
  <c r="N107" i="53"/>
  <c r="Z106" i="53"/>
  <c r="Y106" i="53"/>
  <c r="P106" i="53"/>
  <c r="N106" i="53"/>
  <c r="Z105" i="53"/>
  <c r="Y105" i="53"/>
  <c r="P105" i="53"/>
  <c r="N105" i="53"/>
  <c r="Z104" i="53"/>
  <c r="Y104" i="53"/>
  <c r="P104" i="53"/>
  <c r="N104" i="53"/>
  <c r="Z103" i="53"/>
  <c r="Y103" i="53"/>
  <c r="P103" i="53"/>
  <c r="N103" i="53"/>
  <c r="Z102" i="53"/>
  <c r="Y102" i="53"/>
  <c r="P102" i="53"/>
  <c r="N102" i="53"/>
  <c r="Z101" i="53"/>
  <c r="Y101" i="53"/>
  <c r="P101" i="53"/>
  <c r="N101" i="53"/>
  <c r="Z100" i="53"/>
  <c r="R31" i="53" s="1"/>
  <c r="Y100" i="53"/>
  <c r="R30" i="53" s="1"/>
  <c r="P100" i="53"/>
  <c r="N100" i="53"/>
  <c r="Z99" i="53"/>
  <c r="Y99" i="53"/>
  <c r="P99" i="53"/>
  <c r="N99" i="53"/>
  <c r="Z98" i="53"/>
  <c r="Y98" i="53"/>
  <c r="P98" i="53"/>
  <c r="N98" i="53"/>
  <c r="Z97" i="53"/>
  <c r="Y97" i="53"/>
  <c r="P97" i="53"/>
  <c r="N97" i="53"/>
  <c r="Z192" i="52"/>
  <c r="Y192" i="52"/>
  <c r="P192" i="52"/>
  <c r="N192" i="52"/>
  <c r="Z191" i="52"/>
  <c r="Y191" i="52"/>
  <c r="P191" i="52"/>
  <c r="N191" i="52"/>
  <c r="Z190" i="52"/>
  <c r="Y190" i="52"/>
  <c r="P190" i="52"/>
  <c r="N190" i="52"/>
  <c r="Z189" i="52"/>
  <c r="Y189" i="52"/>
  <c r="P189" i="52"/>
  <c r="N189" i="52"/>
  <c r="Z188" i="52"/>
  <c r="Y188" i="52"/>
  <c r="P188" i="52"/>
  <c r="N188" i="52"/>
  <c r="Z187" i="52"/>
  <c r="Y187" i="52"/>
  <c r="P187" i="52"/>
  <c r="N187" i="52"/>
  <c r="Z186" i="52"/>
  <c r="Y186" i="52"/>
  <c r="P186" i="52"/>
  <c r="N186" i="52"/>
  <c r="Z185" i="52"/>
  <c r="Y185" i="52"/>
  <c r="P185" i="52"/>
  <c r="N185" i="52"/>
  <c r="Z184" i="52"/>
  <c r="Y184" i="52"/>
  <c r="P184" i="52"/>
  <c r="N184" i="52"/>
  <c r="Z183" i="52"/>
  <c r="Y183" i="52"/>
  <c r="P183" i="52"/>
  <c r="N183" i="52"/>
  <c r="Z182" i="52"/>
  <c r="Y182" i="52"/>
  <c r="P182" i="52"/>
  <c r="N182" i="52"/>
  <c r="Z181" i="52"/>
  <c r="Y181" i="52"/>
  <c r="P181" i="52"/>
  <c r="N181" i="52"/>
  <c r="Z180" i="52"/>
  <c r="Y180" i="52"/>
  <c r="P180" i="52"/>
  <c r="N180" i="52"/>
  <c r="Z179" i="52"/>
  <c r="Y179" i="52"/>
  <c r="P179" i="52"/>
  <c r="N179" i="52"/>
  <c r="Z178" i="52"/>
  <c r="Y178" i="52"/>
  <c r="P178" i="52"/>
  <c r="N178" i="52"/>
  <c r="Z177" i="52"/>
  <c r="Y177" i="52"/>
  <c r="P177" i="52"/>
  <c r="N177" i="52"/>
  <c r="Z176" i="52"/>
  <c r="Y176" i="52"/>
  <c r="P176" i="52"/>
  <c r="N176" i="52"/>
  <c r="Z175" i="52"/>
  <c r="Y175" i="52"/>
  <c r="P175" i="52"/>
  <c r="N175" i="52"/>
  <c r="Z174" i="52"/>
  <c r="Y174" i="52"/>
  <c r="P174" i="52"/>
  <c r="N174" i="52"/>
  <c r="Z173" i="52"/>
  <c r="Y173" i="52"/>
  <c r="P173" i="52"/>
  <c r="N173" i="52"/>
  <c r="Z172" i="52"/>
  <c r="Y172" i="52"/>
  <c r="P172" i="52"/>
  <c r="N172" i="52"/>
  <c r="Z171" i="52"/>
  <c r="Y171" i="52"/>
  <c r="P171" i="52"/>
  <c r="N171" i="52"/>
  <c r="Z170" i="52"/>
  <c r="Y170" i="52"/>
  <c r="P170" i="52"/>
  <c r="N170" i="52"/>
  <c r="Z169" i="52"/>
  <c r="Y169" i="52"/>
  <c r="P169" i="52"/>
  <c r="N169" i="52"/>
  <c r="Z168" i="52"/>
  <c r="Y168" i="52"/>
  <c r="P168" i="52"/>
  <c r="N168" i="52"/>
  <c r="Z167" i="52"/>
  <c r="Y167" i="52"/>
  <c r="P167" i="52"/>
  <c r="N167" i="52"/>
  <c r="Z166" i="52"/>
  <c r="Y166" i="52"/>
  <c r="P166" i="52"/>
  <c r="N166" i="52"/>
  <c r="Z165" i="52"/>
  <c r="Y165" i="52"/>
  <c r="P165" i="52"/>
  <c r="N165" i="52"/>
  <c r="Z164" i="52"/>
  <c r="Y164" i="52"/>
  <c r="P164" i="52"/>
  <c r="N164" i="52"/>
  <c r="Z163" i="52"/>
  <c r="Y163" i="52"/>
  <c r="P163" i="52"/>
  <c r="N163" i="52"/>
  <c r="Z162" i="52"/>
  <c r="Y162" i="52"/>
  <c r="P162" i="52"/>
  <c r="N162" i="52"/>
  <c r="Z161" i="52"/>
  <c r="Y161" i="52"/>
  <c r="P161" i="52"/>
  <c r="N161" i="52"/>
  <c r="Z160" i="52"/>
  <c r="Y160" i="52"/>
  <c r="P160" i="52"/>
  <c r="N160" i="52"/>
  <c r="Z159" i="52"/>
  <c r="Y159" i="52"/>
  <c r="P159" i="52"/>
  <c r="N159" i="52"/>
  <c r="Z158" i="52"/>
  <c r="Y158" i="52"/>
  <c r="P158" i="52"/>
  <c r="N158" i="52"/>
  <c r="Z157" i="52"/>
  <c r="Y157" i="52"/>
  <c r="P157" i="52"/>
  <c r="N157" i="52"/>
  <c r="Z156" i="52"/>
  <c r="Y156" i="52"/>
  <c r="P156" i="52"/>
  <c r="N156" i="52"/>
  <c r="Z155" i="52"/>
  <c r="Y155" i="52"/>
  <c r="P155" i="52"/>
  <c r="N155" i="52"/>
  <c r="Z154" i="52"/>
  <c r="Y154" i="52"/>
  <c r="P154" i="52"/>
  <c r="N154" i="52"/>
  <c r="Z153" i="52"/>
  <c r="Y153" i="52"/>
  <c r="P153" i="52"/>
  <c r="N153" i="52"/>
  <c r="Z152" i="52"/>
  <c r="Y152" i="52"/>
  <c r="P152" i="52"/>
  <c r="N152" i="52"/>
  <c r="Z151" i="52"/>
  <c r="Y151" i="52"/>
  <c r="P151" i="52"/>
  <c r="N151" i="52"/>
  <c r="Z150" i="52"/>
  <c r="Y150" i="52"/>
  <c r="P150" i="52"/>
  <c r="N150" i="52"/>
  <c r="Z149" i="52"/>
  <c r="Y149" i="52"/>
  <c r="P149" i="52"/>
  <c r="N149" i="52"/>
  <c r="Z148" i="52"/>
  <c r="Y148" i="52"/>
  <c r="P148" i="52"/>
  <c r="N148" i="52"/>
  <c r="Z147" i="52"/>
  <c r="Y147" i="52"/>
  <c r="P147" i="52"/>
  <c r="N147" i="52"/>
  <c r="Z146" i="52"/>
  <c r="Y146" i="52"/>
  <c r="P146" i="52"/>
  <c r="N146" i="52"/>
  <c r="Z145" i="52"/>
  <c r="Y145" i="52"/>
  <c r="P145" i="52"/>
  <c r="N145" i="52"/>
  <c r="Z144" i="52"/>
  <c r="Y144" i="52"/>
  <c r="P144" i="52"/>
  <c r="N144" i="52"/>
  <c r="Z143" i="52"/>
  <c r="Y143" i="52"/>
  <c r="P143" i="52"/>
  <c r="N143" i="52"/>
  <c r="Z142" i="52"/>
  <c r="Y142" i="52"/>
  <c r="P142" i="52"/>
  <c r="N142" i="52"/>
  <c r="Z141" i="52"/>
  <c r="Y141" i="52"/>
  <c r="P141" i="52"/>
  <c r="N141" i="52"/>
  <c r="Z140" i="52"/>
  <c r="Y140" i="52"/>
  <c r="P140" i="52"/>
  <c r="N140" i="52"/>
  <c r="Z139" i="52"/>
  <c r="Y139" i="52"/>
  <c r="P139" i="52"/>
  <c r="N139" i="52"/>
  <c r="Z138" i="52"/>
  <c r="Y138" i="52"/>
  <c r="P138" i="52"/>
  <c r="N138" i="52"/>
  <c r="Z137" i="52"/>
  <c r="Y137" i="52"/>
  <c r="P137" i="52"/>
  <c r="N137" i="52"/>
  <c r="Z136" i="52"/>
  <c r="Y136" i="52"/>
  <c r="P136" i="52"/>
  <c r="N136" i="52"/>
  <c r="Z135" i="52"/>
  <c r="Y135" i="52"/>
  <c r="P135" i="52"/>
  <c r="N135" i="52"/>
  <c r="Z134" i="52"/>
  <c r="Y134" i="52"/>
  <c r="P134" i="52"/>
  <c r="N134" i="52"/>
  <c r="Z133" i="52"/>
  <c r="Y133" i="52"/>
  <c r="P133" i="52"/>
  <c r="N133" i="52"/>
  <c r="Z132" i="52"/>
  <c r="Y132" i="52"/>
  <c r="P132" i="52"/>
  <c r="N132" i="52"/>
  <c r="Z131" i="52"/>
  <c r="Y131" i="52"/>
  <c r="P131" i="52"/>
  <c r="N131" i="52"/>
  <c r="Z130" i="52"/>
  <c r="Y130" i="52"/>
  <c r="P130" i="52"/>
  <c r="N130" i="52"/>
  <c r="Z129" i="52"/>
  <c r="Y129" i="52"/>
  <c r="P129" i="52"/>
  <c r="N129" i="52"/>
  <c r="Z128" i="52"/>
  <c r="Y128" i="52"/>
  <c r="P128" i="52"/>
  <c r="N128" i="52"/>
  <c r="Z127" i="52"/>
  <c r="Y127" i="52"/>
  <c r="P127" i="52"/>
  <c r="N127" i="52"/>
  <c r="Z126" i="52"/>
  <c r="Y126" i="52"/>
  <c r="P126" i="52"/>
  <c r="N126" i="52"/>
  <c r="Z125" i="52"/>
  <c r="Y125" i="52"/>
  <c r="P125" i="52"/>
  <c r="N125" i="52"/>
  <c r="Z124" i="52"/>
  <c r="Y124" i="52"/>
  <c r="P124" i="52"/>
  <c r="N124" i="52"/>
  <c r="Z123" i="52"/>
  <c r="Y123" i="52"/>
  <c r="P123" i="52"/>
  <c r="N123" i="52"/>
  <c r="Z122" i="52"/>
  <c r="Y122" i="52"/>
  <c r="P122" i="52"/>
  <c r="N122" i="52"/>
  <c r="Z121" i="52"/>
  <c r="Y121" i="52"/>
  <c r="P121" i="52"/>
  <c r="N121" i="52"/>
  <c r="Z120" i="52"/>
  <c r="Y120" i="52"/>
  <c r="P120" i="52"/>
  <c r="N120" i="52"/>
  <c r="Z119" i="52"/>
  <c r="Y119" i="52"/>
  <c r="P119" i="52"/>
  <c r="N119" i="52"/>
  <c r="Z118" i="52"/>
  <c r="Y118" i="52"/>
  <c r="P118" i="52"/>
  <c r="N118" i="52"/>
  <c r="Z117" i="52"/>
  <c r="Y117" i="52"/>
  <c r="P117" i="52"/>
  <c r="N117" i="52"/>
  <c r="Z116" i="52"/>
  <c r="Y116" i="52"/>
  <c r="P116" i="52"/>
  <c r="N116" i="52"/>
  <c r="Z115" i="52"/>
  <c r="Y115" i="52"/>
  <c r="P115" i="52"/>
  <c r="N115" i="52"/>
  <c r="Z114" i="52"/>
  <c r="Y114" i="52"/>
  <c r="P114" i="52"/>
  <c r="N114" i="52"/>
  <c r="Z113" i="52"/>
  <c r="Y113" i="52"/>
  <c r="P113" i="52"/>
  <c r="N113" i="52"/>
  <c r="Z112" i="52"/>
  <c r="Y112" i="52"/>
  <c r="P112" i="52"/>
  <c r="N112" i="52"/>
  <c r="Z111" i="52"/>
  <c r="Y111" i="52"/>
  <c r="P111" i="52"/>
  <c r="N111" i="52"/>
  <c r="Z110" i="52"/>
  <c r="Y110" i="52"/>
  <c r="P110" i="52"/>
  <c r="N110" i="52"/>
  <c r="Z109" i="52"/>
  <c r="Y109" i="52"/>
  <c r="P109" i="52"/>
  <c r="N109" i="52"/>
  <c r="Z108" i="52"/>
  <c r="Y108" i="52"/>
  <c r="P108" i="52"/>
  <c r="N108" i="52"/>
  <c r="Z107" i="52"/>
  <c r="Y107" i="52"/>
  <c r="P107" i="52"/>
  <c r="N107" i="52"/>
  <c r="Z106" i="52"/>
  <c r="Y106" i="52"/>
  <c r="P106" i="52"/>
  <c r="N106" i="52"/>
  <c r="Z105" i="52"/>
  <c r="Y105" i="52"/>
  <c r="P105" i="52"/>
  <c r="N105" i="52"/>
  <c r="Z104" i="52"/>
  <c r="Y104" i="52"/>
  <c r="P104" i="52"/>
  <c r="N104" i="52"/>
  <c r="Z103" i="52"/>
  <c r="Y103" i="52"/>
  <c r="P103" i="52"/>
  <c r="N103" i="52"/>
  <c r="Z102" i="52"/>
  <c r="Y102" i="52"/>
  <c r="P102" i="52"/>
  <c r="N102" i="52"/>
  <c r="Z101" i="52"/>
  <c r="Y101" i="52"/>
  <c r="P101" i="52"/>
  <c r="N101" i="52"/>
  <c r="Z100" i="52"/>
  <c r="R31" i="52" s="1"/>
  <c r="Y100" i="52"/>
  <c r="R30" i="52" s="1"/>
  <c r="P100" i="52"/>
  <c r="N100" i="52"/>
  <c r="Z99" i="52"/>
  <c r="Y99" i="52"/>
  <c r="P99" i="52"/>
  <c r="N99" i="52"/>
  <c r="Z98" i="52"/>
  <c r="Y98" i="52"/>
  <c r="P98" i="52"/>
  <c r="N98" i="52"/>
  <c r="Z97" i="52"/>
  <c r="Y97" i="52"/>
  <c r="P97" i="52"/>
  <c r="N97" i="52"/>
  <c r="Z192" i="51"/>
  <c r="Y192" i="51"/>
  <c r="P192" i="51"/>
  <c r="N192" i="51"/>
  <c r="Z191" i="51"/>
  <c r="Y191" i="51"/>
  <c r="P191" i="51"/>
  <c r="N191" i="51"/>
  <c r="Z190" i="51"/>
  <c r="Y190" i="51"/>
  <c r="P190" i="51"/>
  <c r="N190" i="51"/>
  <c r="Z189" i="51"/>
  <c r="Y189" i="51"/>
  <c r="P189" i="51"/>
  <c r="N189" i="51"/>
  <c r="Z188" i="51"/>
  <c r="Y188" i="51"/>
  <c r="P188" i="51"/>
  <c r="N188" i="51"/>
  <c r="Z187" i="51"/>
  <c r="Y187" i="51"/>
  <c r="P187" i="51"/>
  <c r="N187" i="51"/>
  <c r="Z186" i="51"/>
  <c r="Y186" i="51"/>
  <c r="P186" i="51"/>
  <c r="N186" i="51"/>
  <c r="Z185" i="51"/>
  <c r="Y185" i="51"/>
  <c r="P185" i="51"/>
  <c r="N185" i="51"/>
  <c r="Z184" i="51"/>
  <c r="Y184" i="51"/>
  <c r="P184" i="51"/>
  <c r="N184" i="51"/>
  <c r="Z183" i="51"/>
  <c r="Y183" i="51"/>
  <c r="P183" i="51"/>
  <c r="N183" i="51"/>
  <c r="Z182" i="51"/>
  <c r="Y182" i="51"/>
  <c r="P182" i="51"/>
  <c r="N182" i="51"/>
  <c r="Z181" i="51"/>
  <c r="Y181" i="51"/>
  <c r="P181" i="51"/>
  <c r="N181" i="51"/>
  <c r="Z180" i="51"/>
  <c r="Y180" i="51"/>
  <c r="P180" i="51"/>
  <c r="N180" i="51"/>
  <c r="Z179" i="51"/>
  <c r="Y179" i="51"/>
  <c r="P179" i="51"/>
  <c r="N179" i="51"/>
  <c r="Z178" i="51"/>
  <c r="Y178" i="51"/>
  <c r="P178" i="51"/>
  <c r="N178" i="51"/>
  <c r="Z177" i="51"/>
  <c r="Y177" i="51"/>
  <c r="P177" i="51"/>
  <c r="N177" i="51"/>
  <c r="Z176" i="51"/>
  <c r="Y176" i="51"/>
  <c r="P176" i="51"/>
  <c r="N176" i="51"/>
  <c r="Z175" i="51"/>
  <c r="Y175" i="51"/>
  <c r="P175" i="51"/>
  <c r="N175" i="51"/>
  <c r="Z174" i="51"/>
  <c r="Y174" i="51"/>
  <c r="P174" i="51"/>
  <c r="N174" i="51"/>
  <c r="Z173" i="51"/>
  <c r="Y173" i="51"/>
  <c r="P173" i="51"/>
  <c r="N173" i="51"/>
  <c r="Z172" i="51"/>
  <c r="Y172" i="51"/>
  <c r="P172" i="51"/>
  <c r="N172" i="51"/>
  <c r="Z171" i="51"/>
  <c r="Y171" i="51"/>
  <c r="P171" i="51"/>
  <c r="N171" i="51"/>
  <c r="Z170" i="51"/>
  <c r="Y170" i="51"/>
  <c r="P170" i="51"/>
  <c r="N170" i="51"/>
  <c r="Z169" i="51"/>
  <c r="Y169" i="51"/>
  <c r="P169" i="51"/>
  <c r="N169" i="51"/>
  <c r="Z168" i="51"/>
  <c r="Y168" i="51"/>
  <c r="P168" i="51"/>
  <c r="N168" i="51"/>
  <c r="Z167" i="51"/>
  <c r="Y167" i="51"/>
  <c r="P167" i="51"/>
  <c r="N167" i="51"/>
  <c r="Z166" i="51"/>
  <c r="Y166" i="51"/>
  <c r="P166" i="51"/>
  <c r="N166" i="51"/>
  <c r="Z165" i="51"/>
  <c r="Y165" i="51"/>
  <c r="P165" i="51"/>
  <c r="N165" i="51"/>
  <c r="Z164" i="51"/>
  <c r="Y164" i="51"/>
  <c r="P164" i="51"/>
  <c r="N164" i="51"/>
  <c r="Z163" i="51"/>
  <c r="Y163" i="51"/>
  <c r="P163" i="51"/>
  <c r="N163" i="51"/>
  <c r="Z162" i="51"/>
  <c r="Y162" i="51"/>
  <c r="P162" i="51"/>
  <c r="N162" i="51"/>
  <c r="Z161" i="51"/>
  <c r="Y161" i="51"/>
  <c r="P161" i="51"/>
  <c r="N161" i="51"/>
  <c r="Z160" i="51"/>
  <c r="Y160" i="51"/>
  <c r="P160" i="51"/>
  <c r="N160" i="51"/>
  <c r="Z159" i="51"/>
  <c r="Y159" i="51"/>
  <c r="P159" i="51"/>
  <c r="N159" i="51"/>
  <c r="Z158" i="51"/>
  <c r="Y158" i="51"/>
  <c r="P158" i="51"/>
  <c r="N158" i="51"/>
  <c r="Z157" i="51"/>
  <c r="Y157" i="51"/>
  <c r="P157" i="51"/>
  <c r="N157" i="51"/>
  <c r="Z156" i="51"/>
  <c r="Y156" i="51"/>
  <c r="P156" i="51"/>
  <c r="N156" i="51"/>
  <c r="Z155" i="51"/>
  <c r="Y155" i="51"/>
  <c r="P155" i="51"/>
  <c r="N155" i="51"/>
  <c r="Z154" i="51"/>
  <c r="Y154" i="51"/>
  <c r="P154" i="51"/>
  <c r="N154" i="51"/>
  <c r="Z153" i="51"/>
  <c r="Y153" i="51"/>
  <c r="P153" i="51"/>
  <c r="N153" i="51"/>
  <c r="Z152" i="51"/>
  <c r="Y152" i="51"/>
  <c r="P152" i="51"/>
  <c r="N152" i="51"/>
  <c r="Z151" i="51"/>
  <c r="Y151" i="51"/>
  <c r="P151" i="51"/>
  <c r="N151" i="51"/>
  <c r="Z150" i="51"/>
  <c r="Y150" i="51"/>
  <c r="P150" i="51"/>
  <c r="N150" i="51"/>
  <c r="Z149" i="51"/>
  <c r="Y149" i="51"/>
  <c r="P149" i="51"/>
  <c r="N149" i="51"/>
  <c r="Z148" i="51"/>
  <c r="Y148" i="51"/>
  <c r="P148" i="51"/>
  <c r="N148" i="51"/>
  <c r="Z147" i="51"/>
  <c r="Y147" i="51"/>
  <c r="P147" i="51"/>
  <c r="N147" i="51"/>
  <c r="Z146" i="51"/>
  <c r="Y146" i="51"/>
  <c r="P146" i="51"/>
  <c r="N146" i="51"/>
  <c r="Z145" i="51"/>
  <c r="Y145" i="51"/>
  <c r="P145" i="51"/>
  <c r="N145" i="51"/>
  <c r="Z144" i="51"/>
  <c r="Y144" i="51"/>
  <c r="P144" i="51"/>
  <c r="N144" i="51"/>
  <c r="Z143" i="51"/>
  <c r="Y143" i="51"/>
  <c r="P143" i="51"/>
  <c r="N143" i="51"/>
  <c r="Z142" i="51"/>
  <c r="Y142" i="51"/>
  <c r="P142" i="51"/>
  <c r="N142" i="51"/>
  <c r="Z141" i="51"/>
  <c r="Y141" i="51"/>
  <c r="P141" i="51"/>
  <c r="N141" i="51"/>
  <c r="Z140" i="51"/>
  <c r="Y140" i="51"/>
  <c r="P140" i="51"/>
  <c r="N140" i="51"/>
  <c r="Z139" i="51"/>
  <c r="Y139" i="51"/>
  <c r="P139" i="51"/>
  <c r="N139" i="51"/>
  <c r="Z138" i="51"/>
  <c r="Y138" i="51"/>
  <c r="P138" i="51"/>
  <c r="N138" i="51"/>
  <c r="Z137" i="51"/>
  <c r="Y137" i="51"/>
  <c r="P137" i="51"/>
  <c r="N137" i="51"/>
  <c r="Z136" i="51"/>
  <c r="Y136" i="51"/>
  <c r="P136" i="51"/>
  <c r="N136" i="51"/>
  <c r="Z135" i="51"/>
  <c r="Y135" i="51"/>
  <c r="P135" i="51"/>
  <c r="N135" i="51"/>
  <c r="Z134" i="51"/>
  <c r="Y134" i="51"/>
  <c r="P134" i="51"/>
  <c r="N134" i="51"/>
  <c r="Z133" i="51"/>
  <c r="Y133" i="51"/>
  <c r="P133" i="51"/>
  <c r="N133" i="51"/>
  <c r="Z132" i="51"/>
  <c r="Y132" i="51"/>
  <c r="P132" i="51"/>
  <c r="N132" i="51"/>
  <c r="Z131" i="51"/>
  <c r="Y131" i="51"/>
  <c r="P131" i="51"/>
  <c r="N131" i="51"/>
  <c r="Z130" i="51"/>
  <c r="Y130" i="51"/>
  <c r="P130" i="51"/>
  <c r="N130" i="51"/>
  <c r="Z129" i="51"/>
  <c r="Y129" i="51"/>
  <c r="P129" i="51"/>
  <c r="N129" i="51"/>
  <c r="Z128" i="51"/>
  <c r="Y128" i="51"/>
  <c r="P128" i="51"/>
  <c r="N128" i="51"/>
  <c r="Z127" i="51"/>
  <c r="Y127" i="51"/>
  <c r="P127" i="51"/>
  <c r="N127" i="51"/>
  <c r="Z126" i="51"/>
  <c r="Y126" i="51"/>
  <c r="P126" i="51"/>
  <c r="N126" i="51"/>
  <c r="Z125" i="51"/>
  <c r="Y125" i="51"/>
  <c r="P125" i="51"/>
  <c r="N125" i="51"/>
  <c r="Z124" i="51"/>
  <c r="Y124" i="51"/>
  <c r="P124" i="51"/>
  <c r="N124" i="51"/>
  <c r="Z123" i="51"/>
  <c r="Y123" i="51"/>
  <c r="P123" i="51"/>
  <c r="N123" i="51"/>
  <c r="Z122" i="51"/>
  <c r="Y122" i="51"/>
  <c r="P122" i="51"/>
  <c r="N122" i="51"/>
  <c r="Z121" i="51"/>
  <c r="Y121" i="51"/>
  <c r="P121" i="51"/>
  <c r="N121" i="51"/>
  <c r="Z120" i="51"/>
  <c r="Y120" i="51"/>
  <c r="P120" i="51"/>
  <c r="N120" i="51"/>
  <c r="Z119" i="51"/>
  <c r="Y119" i="51"/>
  <c r="P119" i="51"/>
  <c r="N119" i="51"/>
  <c r="Z118" i="51"/>
  <c r="Y118" i="51"/>
  <c r="P118" i="51"/>
  <c r="N118" i="51"/>
  <c r="Z117" i="51"/>
  <c r="Y117" i="51"/>
  <c r="P117" i="51"/>
  <c r="N117" i="51"/>
  <c r="Z116" i="51"/>
  <c r="Y116" i="51"/>
  <c r="P116" i="51"/>
  <c r="N116" i="51"/>
  <c r="Z115" i="51"/>
  <c r="Y115" i="51"/>
  <c r="P115" i="51"/>
  <c r="N115" i="51"/>
  <c r="Z114" i="51"/>
  <c r="Y114" i="51"/>
  <c r="P114" i="51"/>
  <c r="N114" i="51"/>
  <c r="Z113" i="51"/>
  <c r="Y113" i="51"/>
  <c r="P113" i="51"/>
  <c r="N113" i="51"/>
  <c r="Z112" i="51"/>
  <c r="Y112" i="51"/>
  <c r="P112" i="51"/>
  <c r="N112" i="51"/>
  <c r="Z111" i="51"/>
  <c r="Y111" i="51"/>
  <c r="P111" i="51"/>
  <c r="N111" i="51"/>
  <c r="Z110" i="51"/>
  <c r="Y110" i="51"/>
  <c r="P110" i="51"/>
  <c r="N110" i="51"/>
  <c r="Z109" i="51"/>
  <c r="Y109" i="51"/>
  <c r="P109" i="51"/>
  <c r="N109" i="51"/>
  <c r="Z108" i="51"/>
  <c r="Y108" i="51"/>
  <c r="P108" i="51"/>
  <c r="N108" i="51"/>
  <c r="Z107" i="51"/>
  <c r="Y107" i="51"/>
  <c r="P107" i="51"/>
  <c r="N107" i="51"/>
  <c r="Z106" i="51"/>
  <c r="Y106" i="51"/>
  <c r="P106" i="51"/>
  <c r="N106" i="51"/>
  <c r="Z105" i="51"/>
  <c r="Y105" i="51"/>
  <c r="P105" i="51"/>
  <c r="N105" i="51"/>
  <c r="Z104" i="51"/>
  <c r="Y104" i="51"/>
  <c r="P104" i="51"/>
  <c r="N104" i="51"/>
  <c r="Z103" i="51"/>
  <c r="Y103" i="51"/>
  <c r="P103" i="51"/>
  <c r="N103" i="51"/>
  <c r="Z102" i="51"/>
  <c r="Y102" i="51"/>
  <c r="P102" i="51"/>
  <c r="N102" i="51"/>
  <c r="Z101" i="51"/>
  <c r="Y101" i="51"/>
  <c r="P101" i="51"/>
  <c r="N101" i="51"/>
  <c r="Z100" i="51"/>
  <c r="R31" i="51" s="1"/>
  <c r="Y100" i="51"/>
  <c r="R30" i="51" s="1"/>
  <c r="P100" i="51"/>
  <c r="N100" i="51"/>
  <c r="Z99" i="51"/>
  <c r="Y99" i="51"/>
  <c r="P99" i="51"/>
  <c r="N99" i="51"/>
  <c r="Z98" i="51"/>
  <c r="Y98" i="51"/>
  <c r="P98" i="51"/>
  <c r="N98" i="51"/>
  <c r="Z97" i="51"/>
  <c r="Y97" i="51"/>
  <c r="P97" i="51"/>
  <c r="N97" i="51"/>
  <c r="Z192" i="50"/>
  <c r="Y192" i="50"/>
  <c r="P192" i="50"/>
  <c r="N192" i="50"/>
  <c r="Z191" i="50"/>
  <c r="Y191" i="50"/>
  <c r="P191" i="50"/>
  <c r="N191" i="50"/>
  <c r="Z190" i="50"/>
  <c r="Y190" i="50"/>
  <c r="P190" i="50"/>
  <c r="N190" i="50"/>
  <c r="Z189" i="50"/>
  <c r="Y189" i="50"/>
  <c r="P189" i="50"/>
  <c r="N189" i="50"/>
  <c r="Z188" i="50"/>
  <c r="Y188" i="50"/>
  <c r="P188" i="50"/>
  <c r="N188" i="50"/>
  <c r="Z187" i="50"/>
  <c r="Y187" i="50"/>
  <c r="P187" i="50"/>
  <c r="N187" i="50"/>
  <c r="Z186" i="50"/>
  <c r="Y186" i="50"/>
  <c r="P186" i="50"/>
  <c r="N186" i="50"/>
  <c r="Z185" i="50"/>
  <c r="Y185" i="50"/>
  <c r="P185" i="50"/>
  <c r="N185" i="50"/>
  <c r="Z184" i="50"/>
  <c r="Y184" i="50"/>
  <c r="P184" i="50"/>
  <c r="N184" i="50"/>
  <c r="Z183" i="50"/>
  <c r="Y183" i="50"/>
  <c r="P183" i="50"/>
  <c r="N183" i="50"/>
  <c r="Z182" i="50"/>
  <c r="Y182" i="50"/>
  <c r="P182" i="50"/>
  <c r="N182" i="50"/>
  <c r="Z181" i="50"/>
  <c r="Y181" i="50"/>
  <c r="P181" i="50"/>
  <c r="N181" i="50"/>
  <c r="Z180" i="50"/>
  <c r="Y180" i="50"/>
  <c r="P180" i="50"/>
  <c r="N180" i="50"/>
  <c r="Z179" i="50"/>
  <c r="Y179" i="50"/>
  <c r="P179" i="50"/>
  <c r="N179" i="50"/>
  <c r="Z178" i="50"/>
  <c r="Y178" i="50"/>
  <c r="P178" i="50"/>
  <c r="N178" i="50"/>
  <c r="Z177" i="50"/>
  <c r="Y177" i="50"/>
  <c r="P177" i="50"/>
  <c r="N177" i="50"/>
  <c r="Z176" i="50"/>
  <c r="Y176" i="50"/>
  <c r="P176" i="50"/>
  <c r="N176" i="50"/>
  <c r="Z175" i="50"/>
  <c r="Y175" i="50"/>
  <c r="P175" i="50"/>
  <c r="N175" i="50"/>
  <c r="Z174" i="50"/>
  <c r="Y174" i="50"/>
  <c r="P174" i="50"/>
  <c r="N174" i="50"/>
  <c r="Z173" i="50"/>
  <c r="Y173" i="50"/>
  <c r="P173" i="50"/>
  <c r="N173" i="50"/>
  <c r="Z172" i="50"/>
  <c r="Y172" i="50"/>
  <c r="P172" i="50"/>
  <c r="N172" i="50"/>
  <c r="Z171" i="50"/>
  <c r="Y171" i="50"/>
  <c r="P171" i="50"/>
  <c r="N171" i="50"/>
  <c r="Z170" i="50"/>
  <c r="Y170" i="50"/>
  <c r="P170" i="50"/>
  <c r="N170" i="50"/>
  <c r="Z169" i="50"/>
  <c r="Y169" i="50"/>
  <c r="P169" i="50"/>
  <c r="N169" i="50"/>
  <c r="Z168" i="50"/>
  <c r="Y168" i="50"/>
  <c r="P168" i="50"/>
  <c r="N168" i="50"/>
  <c r="Z167" i="50"/>
  <c r="Y167" i="50"/>
  <c r="P167" i="50"/>
  <c r="N167" i="50"/>
  <c r="Z166" i="50"/>
  <c r="Y166" i="50"/>
  <c r="P166" i="50"/>
  <c r="N166" i="50"/>
  <c r="Z165" i="50"/>
  <c r="Y165" i="50"/>
  <c r="P165" i="50"/>
  <c r="N165" i="50"/>
  <c r="Z164" i="50"/>
  <c r="Y164" i="50"/>
  <c r="P164" i="50"/>
  <c r="N164" i="50"/>
  <c r="Z163" i="50"/>
  <c r="Y163" i="50"/>
  <c r="P163" i="50"/>
  <c r="N163" i="50"/>
  <c r="Z162" i="50"/>
  <c r="Y162" i="50"/>
  <c r="P162" i="50"/>
  <c r="N162" i="50"/>
  <c r="Z161" i="50"/>
  <c r="Y161" i="50"/>
  <c r="P161" i="50"/>
  <c r="N161" i="50"/>
  <c r="Z160" i="50"/>
  <c r="Y160" i="50"/>
  <c r="P160" i="50"/>
  <c r="N160" i="50"/>
  <c r="Z159" i="50"/>
  <c r="Y159" i="50"/>
  <c r="P159" i="50"/>
  <c r="N159" i="50"/>
  <c r="Z158" i="50"/>
  <c r="Y158" i="50"/>
  <c r="P158" i="50"/>
  <c r="N158" i="50"/>
  <c r="Z157" i="50"/>
  <c r="Y157" i="50"/>
  <c r="P157" i="50"/>
  <c r="N157" i="50"/>
  <c r="Z156" i="50"/>
  <c r="Y156" i="50"/>
  <c r="P156" i="50"/>
  <c r="N156" i="50"/>
  <c r="Z155" i="50"/>
  <c r="Y155" i="50"/>
  <c r="P155" i="50"/>
  <c r="N155" i="50"/>
  <c r="Z154" i="50"/>
  <c r="Y154" i="50"/>
  <c r="P154" i="50"/>
  <c r="N154" i="50"/>
  <c r="Z153" i="50"/>
  <c r="Y153" i="50"/>
  <c r="P153" i="50"/>
  <c r="N153" i="50"/>
  <c r="Z152" i="50"/>
  <c r="Y152" i="50"/>
  <c r="P152" i="50"/>
  <c r="N152" i="50"/>
  <c r="Z151" i="50"/>
  <c r="Y151" i="50"/>
  <c r="P151" i="50"/>
  <c r="N151" i="50"/>
  <c r="Z150" i="50"/>
  <c r="Y150" i="50"/>
  <c r="P150" i="50"/>
  <c r="N150" i="50"/>
  <c r="Z149" i="50"/>
  <c r="Y149" i="50"/>
  <c r="P149" i="50"/>
  <c r="N149" i="50"/>
  <c r="Z148" i="50"/>
  <c r="Y148" i="50"/>
  <c r="P148" i="50"/>
  <c r="N148" i="50"/>
  <c r="Z147" i="50"/>
  <c r="Y147" i="50"/>
  <c r="P147" i="50"/>
  <c r="N147" i="50"/>
  <c r="Z146" i="50"/>
  <c r="Y146" i="50"/>
  <c r="P146" i="50"/>
  <c r="N146" i="50"/>
  <c r="Z145" i="50"/>
  <c r="Y145" i="50"/>
  <c r="P145" i="50"/>
  <c r="N145" i="50"/>
  <c r="Z144" i="50"/>
  <c r="Y144" i="50"/>
  <c r="P144" i="50"/>
  <c r="N144" i="50"/>
  <c r="Z143" i="50"/>
  <c r="Y143" i="50"/>
  <c r="P143" i="50"/>
  <c r="N143" i="50"/>
  <c r="Z142" i="50"/>
  <c r="Y142" i="50"/>
  <c r="P142" i="50"/>
  <c r="N142" i="50"/>
  <c r="Z141" i="50"/>
  <c r="Y141" i="50"/>
  <c r="P141" i="50"/>
  <c r="N141" i="50"/>
  <c r="Z140" i="50"/>
  <c r="Y140" i="50"/>
  <c r="P140" i="50"/>
  <c r="N140" i="50"/>
  <c r="Z139" i="50"/>
  <c r="Y139" i="50"/>
  <c r="P139" i="50"/>
  <c r="N139" i="50"/>
  <c r="Z138" i="50"/>
  <c r="Y138" i="50"/>
  <c r="P138" i="50"/>
  <c r="N138" i="50"/>
  <c r="Z137" i="50"/>
  <c r="Y137" i="50"/>
  <c r="P137" i="50"/>
  <c r="N137" i="50"/>
  <c r="Z136" i="50"/>
  <c r="Y136" i="50"/>
  <c r="P136" i="50"/>
  <c r="N136" i="50"/>
  <c r="Z135" i="50"/>
  <c r="Y135" i="50"/>
  <c r="P135" i="50"/>
  <c r="N135" i="50"/>
  <c r="Z134" i="50"/>
  <c r="Y134" i="50"/>
  <c r="P134" i="50"/>
  <c r="N134" i="50"/>
  <c r="Z133" i="50"/>
  <c r="Y133" i="50"/>
  <c r="P133" i="50"/>
  <c r="N133" i="50"/>
  <c r="Z132" i="50"/>
  <c r="Y132" i="50"/>
  <c r="P132" i="50"/>
  <c r="N132" i="50"/>
  <c r="Z131" i="50"/>
  <c r="Y131" i="50"/>
  <c r="P131" i="50"/>
  <c r="N131" i="50"/>
  <c r="Z130" i="50"/>
  <c r="Y130" i="50"/>
  <c r="P130" i="50"/>
  <c r="N130" i="50"/>
  <c r="Z129" i="50"/>
  <c r="Y129" i="50"/>
  <c r="P129" i="50"/>
  <c r="N129" i="50"/>
  <c r="Z128" i="50"/>
  <c r="Y128" i="50"/>
  <c r="P128" i="50"/>
  <c r="N128" i="50"/>
  <c r="Z127" i="50"/>
  <c r="Y127" i="50"/>
  <c r="P127" i="50"/>
  <c r="N127" i="50"/>
  <c r="Z126" i="50"/>
  <c r="Y126" i="50"/>
  <c r="P126" i="50"/>
  <c r="N126" i="50"/>
  <c r="Z125" i="50"/>
  <c r="Y125" i="50"/>
  <c r="P125" i="50"/>
  <c r="N125" i="50"/>
  <c r="Z124" i="50"/>
  <c r="Y124" i="50"/>
  <c r="P124" i="50"/>
  <c r="N124" i="50"/>
  <c r="Z123" i="50"/>
  <c r="Y123" i="50"/>
  <c r="P123" i="50"/>
  <c r="N123" i="50"/>
  <c r="Z122" i="50"/>
  <c r="Y122" i="50"/>
  <c r="P122" i="50"/>
  <c r="N122" i="50"/>
  <c r="Z121" i="50"/>
  <c r="Y121" i="50"/>
  <c r="P121" i="50"/>
  <c r="N121" i="50"/>
  <c r="Z120" i="50"/>
  <c r="Y120" i="50"/>
  <c r="P120" i="50"/>
  <c r="N120" i="50"/>
  <c r="Z119" i="50"/>
  <c r="Y119" i="50"/>
  <c r="P119" i="50"/>
  <c r="N119" i="50"/>
  <c r="Z118" i="50"/>
  <c r="Y118" i="50"/>
  <c r="P118" i="50"/>
  <c r="N118" i="50"/>
  <c r="Z117" i="50"/>
  <c r="Y117" i="50"/>
  <c r="P117" i="50"/>
  <c r="N117" i="50"/>
  <c r="Z116" i="50"/>
  <c r="Y116" i="50"/>
  <c r="P116" i="50"/>
  <c r="N116" i="50"/>
  <c r="Z115" i="50"/>
  <c r="Y115" i="50"/>
  <c r="P115" i="50"/>
  <c r="N115" i="50"/>
  <c r="Z114" i="50"/>
  <c r="Y114" i="50"/>
  <c r="P114" i="50"/>
  <c r="N114" i="50"/>
  <c r="Z113" i="50"/>
  <c r="Y113" i="50"/>
  <c r="P113" i="50"/>
  <c r="N113" i="50"/>
  <c r="Z112" i="50"/>
  <c r="Y112" i="50"/>
  <c r="P112" i="50"/>
  <c r="N112" i="50"/>
  <c r="Z111" i="50"/>
  <c r="Y111" i="50"/>
  <c r="P111" i="50"/>
  <c r="N111" i="50"/>
  <c r="Z110" i="50"/>
  <c r="Y110" i="50"/>
  <c r="P110" i="50"/>
  <c r="N110" i="50"/>
  <c r="Z109" i="50"/>
  <c r="Y109" i="50"/>
  <c r="P109" i="50"/>
  <c r="N109" i="50"/>
  <c r="Z108" i="50"/>
  <c r="Y108" i="50"/>
  <c r="P108" i="50"/>
  <c r="N108" i="50"/>
  <c r="Z107" i="50"/>
  <c r="Y107" i="50"/>
  <c r="P107" i="50"/>
  <c r="N107" i="50"/>
  <c r="Z106" i="50"/>
  <c r="Y106" i="50"/>
  <c r="P106" i="50"/>
  <c r="N106" i="50"/>
  <c r="Z105" i="50"/>
  <c r="Y105" i="50"/>
  <c r="P105" i="50"/>
  <c r="N105" i="50"/>
  <c r="Z104" i="50"/>
  <c r="Y104" i="50"/>
  <c r="P104" i="50"/>
  <c r="N104" i="50"/>
  <c r="Z103" i="50"/>
  <c r="Y103" i="50"/>
  <c r="P103" i="50"/>
  <c r="N103" i="50"/>
  <c r="Z102" i="50"/>
  <c r="Y102" i="50"/>
  <c r="P102" i="50"/>
  <c r="N102" i="50"/>
  <c r="Z101" i="50"/>
  <c r="Y101" i="50"/>
  <c r="P101" i="50"/>
  <c r="N101" i="50"/>
  <c r="Z100" i="50"/>
  <c r="R31" i="50" s="1"/>
  <c r="Y100" i="50"/>
  <c r="R30" i="50" s="1"/>
  <c r="P100" i="50"/>
  <c r="N100" i="50"/>
  <c r="Z99" i="50"/>
  <c r="Y99" i="50"/>
  <c r="P99" i="50"/>
  <c r="N99" i="50"/>
  <c r="Z98" i="50"/>
  <c r="Y98" i="50"/>
  <c r="P98" i="50"/>
  <c r="N98" i="50"/>
  <c r="Z97" i="50"/>
  <c r="Y97" i="50"/>
  <c r="P97" i="50"/>
  <c r="N97" i="50"/>
  <c r="Z192" i="49"/>
  <c r="Y192" i="49"/>
  <c r="P192" i="49"/>
  <c r="N192" i="49"/>
  <c r="Z191" i="49"/>
  <c r="Y191" i="49"/>
  <c r="P191" i="49"/>
  <c r="N191" i="49"/>
  <c r="Z190" i="49"/>
  <c r="Y190" i="49"/>
  <c r="P190" i="49"/>
  <c r="N190" i="49"/>
  <c r="Z189" i="49"/>
  <c r="Y189" i="49"/>
  <c r="P189" i="49"/>
  <c r="N189" i="49"/>
  <c r="Z188" i="49"/>
  <c r="Y188" i="49"/>
  <c r="P188" i="49"/>
  <c r="N188" i="49"/>
  <c r="Z187" i="49"/>
  <c r="Y187" i="49"/>
  <c r="P187" i="49"/>
  <c r="N187" i="49"/>
  <c r="Z186" i="49"/>
  <c r="Y186" i="49"/>
  <c r="P186" i="49"/>
  <c r="N186" i="49"/>
  <c r="Z185" i="49"/>
  <c r="Y185" i="49"/>
  <c r="P185" i="49"/>
  <c r="N185" i="49"/>
  <c r="Z184" i="49"/>
  <c r="Y184" i="49"/>
  <c r="P184" i="49"/>
  <c r="N184" i="49"/>
  <c r="Z183" i="49"/>
  <c r="Y183" i="49"/>
  <c r="P183" i="49"/>
  <c r="N183" i="49"/>
  <c r="Z182" i="49"/>
  <c r="Y182" i="49"/>
  <c r="P182" i="49"/>
  <c r="N182" i="49"/>
  <c r="Z181" i="49"/>
  <c r="Y181" i="49"/>
  <c r="P181" i="49"/>
  <c r="N181" i="49"/>
  <c r="Z180" i="49"/>
  <c r="Y180" i="49"/>
  <c r="P180" i="49"/>
  <c r="N180" i="49"/>
  <c r="Z179" i="49"/>
  <c r="Y179" i="49"/>
  <c r="P179" i="49"/>
  <c r="N179" i="49"/>
  <c r="Z178" i="49"/>
  <c r="Y178" i="49"/>
  <c r="P178" i="49"/>
  <c r="N178" i="49"/>
  <c r="Z177" i="49"/>
  <c r="Y177" i="49"/>
  <c r="P177" i="49"/>
  <c r="N177" i="49"/>
  <c r="Z176" i="49"/>
  <c r="Y176" i="49"/>
  <c r="P176" i="49"/>
  <c r="N176" i="49"/>
  <c r="Z175" i="49"/>
  <c r="Y175" i="49"/>
  <c r="P175" i="49"/>
  <c r="N175" i="49"/>
  <c r="Z174" i="49"/>
  <c r="Y174" i="49"/>
  <c r="P174" i="49"/>
  <c r="N174" i="49"/>
  <c r="Z173" i="49"/>
  <c r="Y173" i="49"/>
  <c r="P173" i="49"/>
  <c r="N173" i="49"/>
  <c r="Z172" i="49"/>
  <c r="Y172" i="49"/>
  <c r="P172" i="49"/>
  <c r="N172" i="49"/>
  <c r="Z171" i="49"/>
  <c r="Y171" i="49"/>
  <c r="P171" i="49"/>
  <c r="N171" i="49"/>
  <c r="Z170" i="49"/>
  <c r="Y170" i="49"/>
  <c r="P170" i="49"/>
  <c r="N170" i="49"/>
  <c r="Z169" i="49"/>
  <c r="Y169" i="49"/>
  <c r="P169" i="49"/>
  <c r="N169" i="49"/>
  <c r="Z168" i="49"/>
  <c r="Y168" i="49"/>
  <c r="P168" i="49"/>
  <c r="N168" i="49"/>
  <c r="Z167" i="49"/>
  <c r="Y167" i="49"/>
  <c r="P167" i="49"/>
  <c r="N167" i="49"/>
  <c r="Z166" i="49"/>
  <c r="Y166" i="49"/>
  <c r="P166" i="49"/>
  <c r="N166" i="49"/>
  <c r="Z165" i="49"/>
  <c r="Y165" i="49"/>
  <c r="P165" i="49"/>
  <c r="N165" i="49"/>
  <c r="Z164" i="49"/>
  <c r="Y164" i="49"/>
  <c r="P164" i="49"/>
  <c r="N164" i="49"/>
  <c r="Z163" i="49"/>
  <c r="Y163" i="49"/>
  <c r="P163" i="49"/>
  <c r="N163" i="49"/>
  <c r="Z162" i="49"/>
  <c r="Y162" i="49"/>
  <c r="P162" i="49"/>
  <c r="N162" i="49"/>
  <c r="Z161" i="49"/>
  <c r="Y161" i="49"/>
  <c r="P161" i="49"/>
  <c r="N161" i="49"/>
  <c r="Z160" i="49"/>
  <c r="Y160" i="49"/>
  <c r="P160" i="49"/>
  <c r="N160" i="49"/>
  <c r="Z159" i="49"/>
  <c r="Y159" i="49"/>
  <c r="P159" i="49"/>
  <c r="N159" i="49"/>
  <c r="Z158" i="49"/>
  <c r="Y158" i="49"/>
  <c r="P158" i="49"/>
  <c r="N158" i="49"/>
  <c r="Z157" i="49"/>
  <c r="Y157" i="49"/>
  <c r="P157" i="49"/>
  <c r="N157" i="49"/>
  <c r="Z156" i="49"/>
  <c r="Y156" i="49"/>
  <c r="P156" i="49"/>
  <c r="N156" i="49"/>
  <c r="Z155" i="49"/>
  <c r="Y155" i="49"/>
  <c r="P155" i="49"/>
  <c r="N155" i="49"/>
  <c r="Z154" i="49"/>
  <c r="Y154" i="49"/>
  <c r="P154" i="49"/>
  <c r="N154" i="49"/>
  <c r="Z153" i="49"/>
  <c r="Y153" i="49"/>
  <c r="P153" i="49"/>
  <c r="N153" i="49"/>
  <c r="Z152" i="49"/>
  <c r="Y152" i="49"/>
  <c r="P152" i="49"/>
  <c r="N152" i="49"/>
  <c r="Z151" i="49"/>
  <c r="Y151" i="49"/>
  <c r="P151" i="49"/>
  <c r="N151" i="49"/>
  <c r="Z150" i="49"/>
  <c r="Y150" i="49"/>
  <c r="P150" i="49"/>
  <c r="N150" i="49"/>
  <c r="Z149" i="49"/>
  <c r="Y149" i="49"/>
  <c r="P149" i="49"/>
  <c r="N149" i="49"/>
  <c r="Z148" i="49"/>
  <c r="Y148" i="49"/>
  <c r="P148" i="49"/>
  <c r="N148" i="49"/>
  <c r="Z147" i="49"/>
  <c r="Y147" i="49"/>
  <c r="P147" i="49"/>
  <c r="N147" i="49"/>
  <c r="Z146" i="49"/>
  <c r="Y146" i="49"/>
  <c r="P146" i="49"/>
  <c r="N146" i="49"/>
  <c r="Z145" i="49"/>
  <c r="Y145" i="49"/>
  <c r="P145" i="49"/>
  <c r="N145" i="49"/>
  <c r="Z144" i="49"/>
  <c r="Y144" i="49"/>
  <c r="P144" i="49"/>
  <c r="N144" i="49"/>
  <c r="Z143" i="49"/>
  <c r="Y143" i="49"/>
  <c r="P143" i="49"/>
  <c r="N143" i="49"/>
  <c r="Z142" i="49"/>
  <c r="Y142" i="49"/>
  <c r="P142" i="49"/>
  <c r="N142" i="49"/>
  <c r="Z141" i="49"/>
  <c r="Y141" i="49"/>
  <c r="P141" i="49"/>
  <c r="N141" i="49"/>
  <c r="Z140" i="49"/>
  <c r="Y140" i="49"/>
  <c r="P140" i="49"/>
  <c r="N140" i="49"/>
  <c r="Z139" i="49"/>
  <c r="Y139" i="49"/>
  <c r="P139" i="49"/>
  <c r="N139" i="49"/>
  <c r="Z138" i="49"/>
  <c r="Y138" i="49"/>
  <c r="P138" i="49"/>
  <c r="N138" i="49"/>
  <c r="Z137" i="49"/>
  <c r="Y137" i="49"/>
  <c r="P137" i="49"/>
  <c r="N137" i="49"/>
  <c r="Z136" i="49"/>
  <c r="Y136" i="49"/>
  <c r="P136" i="49"/>
  <c r="N136" i="49"/>
  <c r="Z135" i="49"/>
  <c r="Y135" i="49"/>
  <c r="P135" i="49"/>
  <c r="N135" i="49"/>
  <c r="Z134" i="49"/>
  <c r="Y134" i="49"/>
  <c r="P134" i="49"/>
  <c r="N134" i="49"/>
  <c r="Z133" i="49"/>
  <c r="Y133" i="49"/>
  <c r="P133" i="49"/>
  <c r="N133" i="49"/>
  <c r="Z132" i="49"/>
  <c r="Y132" i="49"/>
  <c r="P132" i="49"/>
  <c r="N132" i="49"/>
  <c r="Z131" i="49"/>
  <c r="Y131" i="49"/>
  <c r="P131" i="49"/>
  <c r="N131" i="49"/>
  <c r="Z130" i="49"/>
  <c r="Y130" i="49"/>
  <c r="P130" i="49"/>
  <c r="N130" i="49"/>
  <c r="Z129" i="49"/>
  <c r="Y129" i="49"/>
  <c r="P129" i="49"/>
  <c r="N129" i="49"/>
  <c r="Z128" i="49"/>
  <c r="Y128" i="49"/>
  <c r="P128" i="49"/>
  <c r="N128" i="49"/>
  <c r="Z127" i="49"/>
  <c r="Y127" i="49"/>
  <c r="P127" i="49"/>
  <c r="N127" i="49"/>
  <c r="Z126" i="49"/>
  <c r="Y126" i="49"/>
  <c r="P126" i="49"/>
  <c r="N126" i="49"/>
  <c r="Z125" i="49"/>
  <c r="Y125" i="49"/>
  <c r="P125" i="49"/>
  <c r="N125" i="49"/>
  <c r="Z124" i="49"/>
  <c r="Y124" i="49"/>
  <c r="P124" i="49"/>
  <c r="N124" i="49"/>
  <c r="Z123" i="49"/>
  <c r="Y123" i="49"/>
  <c r="P123" i="49"/>
  <c r="N123" i="49"/>
  <c r="Z122" i="49"/>
  <c r="Y122" i="49"/>
  <c r="P122" i="49"/>
  <c r="N122" i="49"/>
  <c r="Z121" i="49"/>
  <c r="Y121" i="49"/>
  <c r="P121" i="49"/>
  <c r="N121" i="49"/>
  <c r="Z120" i="49"/>
  <c r="Y120" i="49"/>
  <c r="P120" i="49"/>
  <c r="N120" i="49"/>
  <c r="Z119" i="49"/>
  <c r="Y119" i="49"/>
  <c r="P119" i="49"/>
  <c r="N119" i="49"/>
  <c r="Z118" i="49"/>
  <c r="Y118" i="49"/>
  <c r="P118" i="49"/>
  <c r="N118" i="49"/>
  <c r="Z117" i="49"/>
  <c r="Y117" i="49"/>
  <c r="P117" i="49"/>
  <c r="N117" i="49"/>
  <c r="Z116" i="49"/>
  <c r="Y116" i="49"/>
  <c r="P116" i="49"/>
  <c r="N116" i="49"/>
  <c r="Z115" i="49"/>
  <c r="Y115" i="49"/>
  <c r="P115" i="49"/>
  <c r="N115" i="49"/>
  <c r="Z114" i="49"/>
  <c r="Y114" i="49"/>
  <c r="P114" i="49"/>
  <c r="N114" i="49"/>
  <c r="Z113" i="49"/>
  <c r="Y113" i="49"/>
  <c r="P113" i="49"/>
  <c r="N113" i="49"/>
  <c r="Z112" i="49"/>
  <c r="Y112" i="49"/>
  <c r="P112" i="49"/>
  <c r="N112" i="49"/>
  <c r="Z111" i="49"/>
  <c r="Y111" i="49"/>
  <c r="P111" i="49"/>
  <c r="N111" i="49"/>
  <c r="Z110" i="49"/>
  <c r="Y110" i="49"/>
  <c r="P110" i="49"/>
  <c r="N110" i="49"/>
  <c r="Z109" i="49"/>
  <c r="Y109" i="49"/>
  <c r="P109" i="49"/>
  <c r="N109" i="49"/>
  <c r="Z108" i="49"/>
  <c r="Y108" i="49"/>
  <c r="P108" i="49"/>
  <c r="N108" i="49"/>
  <c r="Z107" i="49"/>
  <c r="Y107" i="49"/>
  <c r="P107" i="49"/>
  <c r="N107" i="49"/>
  <c r="Z106" i="49"/>
  <c r="Y106" i="49"/>
  <c r="P106" i="49"/>
  <c r="N106" i="49"/>
  <c r="Z105" i="49"/>
  <c r="Y105" i="49"/>
  <c r="P105" i="49"/>
  <c r="N105" i="49"/>
  <c r="Z104" i="49"/>
  <c r="Y104" i="49"/>
  <c r="P104" i="49"/>
  <c r="N104" i="49"/>
  <c r="Z103" i="49"/>
  <c r="Y103" i="49"/>
  <c r="P103" i="49"/>
  <c r="N103" i="49"/>
  <c r="Z102" i="49"/>
  <c r="Y102" i="49"/>
  <c r="P102" i="49"/>
  <c r="N102" i="49"/>
  <c r="Z101" i="49"/>
  <c r="Y101" i="49"/>
  <c r="P101" i="49"/>
  <c r="N101" i="49"/>
  <c r="Z100" i="49"/>
  <c r="R31" i="49" s="1"/>
  <c r="Y100" i="49"/>
  <c r="R30" i="49" s="1"/>
  <c r="P100" i="49"/>
  <c r="N100" i="49"/>
  <c r="Z99" i="49"/>
  <c r="Y99" i="49"/>
  <c r="P99" i="49"/>
  <c r="N99" i="49"/>
  <c r="Z98" i="49"/>
  <c r="Y98" i="49"/>
  <c r="P98" i="49"/>
  <c r="N98" i="49"/>
  <c r="Z97" i="49"/>
  <c r="Y97" i="49"/>
  <c r="P97" i="49"/>
  <c r="N97" i="49"/>
  <c r="Z192" i="48"/>
  <c r="Y192" i="48"/>
  <c r="P192" i="48"/>
  <c r="N192" i="48"/>
  <c r="Z191" i="48"/>
  <c r="Y191" i="48"/>
  <c r="P191" i="48"/>
  <c r="N191" i="48"/>
  <c r="Z190" i="48"/>
  <c r="Y190" i="48"/>
  <c r="P190" i="48"/>
  <c r="N190" i="48"/>
  <c r="Z189" i="48"/>
  <c r="Y189" i="48"/>
  <c r="P189" i="48"/>
  <c r="N189" i="48"/>
  <c r="Z188" i="48"/>
  <c r="Y188" i="48"/>
  <c r="P188" i="48"/>
  <c r="N188" i="48"/>
  <c r="Z187" i="48"/>
  <c r="Y187" i="48"/>
  <c r="P187" i="48"/>
  <c r="N187" i="48"/>
  <c r="Z186" i="48"/>
  <c r="Y186" i="48"/>
  <c r="P186" i="48"/>
  <c r="N186" i="48"/>
  <c r="Z185" i="48"/>
  <c r="Y185" i="48"/>
  <c r="P185" i="48"/>
  <c r="N185" i="48"/>
  <c r="Z184" i="48"/>
  <c r="Y184" i="48"/>
  <c r="P184" i="48"/>
  <c r="N184" i="48"/>
  <c r="Z183" i="48"/>
  <c r="Y183" i="48"/>
  <c r="P183" i="48"/>
  <c r="N183" i="48"/>
  <c r="Z182" i="48"/>
  <c r="Y182" i="48"/>
  <c r="P182" i="48"/>
  <c r="N182" i="48"/>
  <c r="Z181" i="48"/>
  <c r="Y181" i="48"/>
  <c r="P181" i="48"/>
  <c r="N181" i="48"/>
  <c r="Z180" i="48"/>
  <c r="Y180" i="48"/>
  <c r="P180" i="48"/>
  <c r="N180" i="48"/>
  <c r="Z179" i="48"/>
  <c r="Y179" i="48"/>
  <c r="P179" i="48"/>
  <c r="N179" i="48"/>
  <c r="Z178" i="48"/>
  <c r="Y178" i="48"/>
  <c r="P178" i="48"/>
  <c r="N178" i="48"/>
  <c r="Z177" i="48"/>
  <c r="Y177" i="48"/>
  <c r="P177" i="48"/>
  <c r="N177" i="48"/>
  <c r="Z176" i="48"/>
  <c r="Y176" i="48"/>
  <c r="P176" i="48"/>
  <c r="N176" i="48"/>
  <c r="Z175" i="48"/>
  <c r="Y175" i="48"/>
  <c r="P175" i="48"/>
  <c r="N175" i="48"/>
  <c r="Z174" i="48"/>
  <c r="Y174" i="48"/>
  <c r="P174" i="48"/>
  <c r="N174" i="48"/>
  <c r="Z173" i="48"/>
  <c r="Y173" i="48"/>
  <c r="P173" i="48"/>
  <c r="N173" i="48"/>
  <c r="Z172" i="48"/>
  <c r="Y172" i="48"/>
  <c r="P172" i="48"/>
  <c r="N172" i="48"/>
  <c r="Z171" i="48"/>
  <c r="Y171" i="48"/>
  <c r="P171" i="48"/>
  <c r="N171" i="48"/>
  <c r="Z170" i="48"/>
  <c r="Y170" i="48"/>
  <c r="P170" i="48"/>
  <c r="N170" i="48"/>
  <c r="Z169" i="48"/>
  <c r="Y169" i="48"/>
  <c r="P169" i="48"/>
  <c r="N169" i="48"/>
  <c r="Z168" i="48"/>
  <c r="Y168" i="48"/>
  <c r="P168" i="48"/>
  <c r="N168" i="48"/>
  <c r="Z167" i="48"/>
  <c r="Y167" i="48"/>
  <c r="P167" i="48"/>
  <c r="N167" i="48"/>
  <c r="Z166" i="48"/>
  <c r="Y166" i="48"/>
  <c r="P166" i="48"/>
  <c r="N166" i="48"/>
  <c r="Z165" i="48"/>
  <c r="Y165" i="48"/>
  <c r="P165" i="48"/>
  <c r="N165" i="48"/>
  <c r="Z164" i="48"/>
  <c r="Y164" i="48"/>
  <c r="P164" i="48"/>
  <c r="N164" i="48"/>
  <c r="Z163" i="48"/>
  <c r="Y163" i="48"/>
  <c r="P163" i="48"/>
  <c r="N163" i="48"/>
  <c r="Z162" i="48"/>
  <c r="Y162" i="48"/>
  <c r="P162" i="48"/>
  <c r="N162" i="48"/>
  <c r="Z161" i="48"/>
  <c r="Y161" i="48"/>
  <c r="P161" i="48"/>
  <c r="N161" i="48"/>
  <c r="Z160" i="48"/>
  <c r="Y160" i="48"/>
  <c r="P160" i="48"/>
  <c r="N160" i="48"/>
  <c r="Z159" i="48"/>
  <c r="Y159" i="48"/>
  <c r="P159" i="48"/>
  <c r="N159" i="48"/>
  <c r="Z158" i="48"/>
  <c r="Y158" i="48"/>
  <c r="P158" i="48"/>
  <c r="N158" i="48"/>
  <c r="Z157" i="48"/>
  <c r="Y157" i="48"/>
  <c r="P157" i="48"/>
  <c r="N157" i="48"/>
  <c r="Z156" i="48"/>
  <c r="Y156" i="48"/>
  <c r="P156" i="48"/>
  <c r="N156" i="48"/>
  <c r="Z155" i="48"/>
  <c r="Y155" i="48"/>
  <c r="P155" i="48"/>
  <c r="N155" i="48"/>
  <c r="Z154" i="48"/>
  <c r="Y154" i="48"/>
  <c r="P154" i="48"/>
  <c r="N154" i="48"/>
  <c r="Z153" i="48"/>
  <c r="Y153" i="48"/>
  <c r="P153" i="48"/>
  <c r="N153" i="48"/>
  <c r="Z152" i="48"/>
  <c r="Y152" i="48"/>
  <c r="P152" i="48"/>
  <c r="N152" i="48"/>
  <c r="Z151" i="48"/>
  <c r="Y151" i="48"/>
  <c r="P151" i="48"/>
  <c r="N151" i="48"/>
  <c r="Z150" i="48"/>
  <c r="Y150" i="48"/>
  <c r="P150" i="48"/>
  <c r="N150" i="48"/>
  <c r="Z149" i="48"/>
  <c r="Y149" i="48"/>
  <c r="P149" i="48"/>
  <c r="N149" i="48"/>
  <c r="Z148" i="48"/>
  <c r="Y148" i="48"/>
  <c r="P148" i="48"/>
  <c r="N148" i="48"/>
  <c r="Z147" i="48"/>
  <c r="Y147" i="48"/>
  <c r="P147" i="48"/>
  <c r="N147" i="48"/>
  <c r="Z146" i="48"/>
  <c r="Y146" i="48"/>
  <c r="P146" i="48"/>
  <c r="N146" i="48"/>
  <c r="Z145" i="48"/>
  <c r="Y145" i="48"/>
  <c r="P145" i="48"/>
  <c r="N145" i="48"/>
  <c r="Z144" i="48"/>
  <c r="Y144" i="48"/>
  <c r="P144" i="48"/>
  <c r="N144" i="48"/>
  <c r="Z143" i="48"/>
  <c r="Y143" i="48"/>
  <c r="P143" i="48"/>
  <c r="N143" i="48"/>
  <c r="Z142" i="48"/>
  <c r="Y142" i="48"/>
  <c r="P142" i="48"/>
  <c r="N142" i="48"/>
  <c r="Z141" i="48"/>
  <c r="Y141" i="48"/>
  <c r="P141" i="48"/>
  <c r="N141" i="48"/>
  <c r="Z140" i="48"/>
  <c r="Y140" i="48"/>
  <c r="P140" i="48"/>
  <c r="N140" i="48"/>
  <c r="Z139" i="48"/>
  <c r="Y139" i="48"/>
  <c r="P139" i="48"/>
  <c r="N139" i="48"/>
  <c r="Z138" i="48"/>
  <c r="Y138" i="48"/>
  <c r="P138" i="48"/>
  <c r="N138" i="48"/>
  <c r="Z137" i="48"/>
  <c r="Y137" i="48"/>
  <c r="P137" i="48"/>
  <c r="N137" i="48"/>
  <c r="Z136" i="48"/>
  <c r="Y136" i="48"/>
  <c r="P136" i="48"/>
  <c r="N136" i="48"/>
  <c r="Z135" i="48"/>
  <c r="Y135" i="48"/>
  <c r="P135" i="48"/>
  <c r="N135" i="48"/>
  <c r="Z134" i="48"/>
  <c r="Y134" i="48"/>
  <c r="P134" i="48"/>
  <c r="N134" i="48"/>
  <c r="Z133" i="48"/>
  <c r="Y133" i="48"/>
  <c r="P133" i="48"/>
  <c r="N133" i="48"/>
  <c r="Z132" i="48"/>
  <c r="Y132" i="48"/>
  <c r="P132" i="48"/>
  <c r="N132" i="48"/>
  <c r="Z131" i="48"/>
  <c r="Y131" i="48"/>
  <c r="P131" i="48"/>
  <c r="N131" i="48"/>
  <c r="Z130" i="48"/>
  <c r="Y130" i="48"/>
  <c r="P130" i="48"/>
  <c r="N130" i="48"/>
  <c r="Z129" i="48"/>
  <c r="Y129" i="48"/>
  <c r="P129" i="48"/>
  <c r="N129" i="48"/>
  <c r="Z128" i="48"/>
  <c r="Y128" i="48"/>
  <c r="P128" i="48"/>
  <c r="N128" i="48"/>
  <c r="Z127" i="48"/>
  <c r="Y127" i="48"/>
  <c r="P127" i="48"/>
  <c r="N127" i="48"/>
  <c r="Z126" i="48"/>
  <c r="Y126" i="48"/>
  <c r="P126" i="48"/>
  <c r="N126" i="48"/>
  <c r="Z125" i="48"/>
  <c r="Y125" i="48"/>
  <c r="P125" i="48"/>
  <c r="N125" i="48"/>
  <c r="Z124" i="48"/>
  <c r="Y124" i="48"/>
  <c r="P124" i="48"/>
  <c r="N124" i="48"/>
  <c r="Z123" i="48"/>
  <c r="Y123" i="48"/>
  <c r="P123" i="48"/>
  <c r="N123" i="48"/>
  <c r="Z122" i="48"/>
  <c r="Y122" i="48"/>
  <c r="P122" i="48"/>
  <c r="N122" i="48"/>
  <c r="Z121" i="48"/>
  <c r="Y121" i="48"/>
  <c r="P121" i="48"/>
  <c r="N121" i="48"/>
  <c r="Z120" i="48"/>
  <c r="Y120" i="48"/>
  <c r="P120" i="48"/>
  <c r="N120" i="48"/>
  <c r="Z119" i="48"/>
  <c r="Y119" i="48"/>
  <c r="P119" i="48"/>
  <c r="N119" i="48"/>
  <c r="Z118" i="48"/>
  <c r="Y118" i="48"/>
  <c r="P118" i="48"/>
  <c r="N118" i="48"/>
  <c r="Z117" i="48"/>
  <c r="Y117" i="48"/>
  <c r="P117" i="48"/>
  <c r="N117" i="48"/>
  <c r="Z116" i="48"/>
  <c r="Y116" i="48"/>
  <c r="P116" i="48"/>
  <c r="N116" i="48"/>
  <c r="Z115" i="48"/>
  <c r="Y115" i="48"/>
  <c r="P115" i="48"/>
  <c r="N115" i="48"/>
  <c r="Z114" i="48"/>
  <c r="Y114" i="48"/>
  <c r="P114" i="48"/>
  <c r="N114" i="48"/>
  <c r="Z113" i="48"/>
  <c r="Y113" i="48"/>
  <c r="P113" i="48"/>
  <c r="N113" i="48"/>
  <c r="Z112" i="48"/>
  <c r="Y112" i="48"/>
  <c r="P112" i="48"/>
  <c r="N112" i="48"/>
  <c r="Z111" i="48"/>
  <c r="Y111" i="48"/>
  <c r="P111" i="48"/>
  <c r="N111" i="48"/>
  <c r="Z110" i="48"/>
  <c r="Y110" i="48"/>
  <c r="P110" i="48"/>
  <c r="N110" i="48"/>
  <c r="Z109" i="48"/>
  <c r="Y109" i="48"/>
  <c r="P109" i="48"/>
  <c r="N109" i="48"/>
  <c r="Z108" i="48"/>
  <c r="Y108" i="48"/>
  <c r="P108" i="48"/>
  <c r="N108" i="48"/>
  <c r="Z107" i="48"/>
  <c r="Y107" i="48"/>
  <c r="P107" i="48"/>
  <c r="N107" i="48"/>
  <c r="Z106" i="48"/>
  <c r="Y106" i="48"/>
  <c r="P106" i="48"/>
  <c r="N106" i="48"/>
  <c r="Z105" i="48"/>
  <c r="Y105" i="48"/>
  <c r="P105" i="48"/>
  <c r="N105" i="48"/>
  <c r="Z104" i="48"/>
  <c r="Y104" i="48"/>
  <c r="P104" i="48"/>
  <c r="N104" i="48"/>
  <c r="Z103" i="48"/>
  <c r="Y103" i="48"/>
  <c r="P103" i="48"/>
  <c r="N103" i="48"/>
  <c r="Z102" i="48"/>
  <c r="Y102" i="48"/>
  <c r="P102" i="48"/>
  <c r="N102" i="48"/>
  <c r="Z101" i="48"/>
  <c r="Y101" i="48"/>
  <c r="P101" i="48"/>
  <c r="N101" i="48"/>
  <c r="Z100" i="48"/>
  <c r="R31" i="48" s="1"/>
  <c r="Y100" i="48"/>
  <c r="R30" i="48" s="1"/>
  <c r="P100" i="48"/>
  <c r="N100" i="48"/>
  <c r="Z99" i="48"/>
  <c r="Y99" i="48"/>
  <c r="P99" i="48"/>
  <c r="N99" i="48"/>
  <c r="Z98" i="48"/>
  <c r="Y98" i="48"/>
  <c r="P98" i="48"/>
  <c r="N98" i="48"/>
  <c r="Z97" i="48"/>
  <c r="Y97" i="48"/>
  <c r="P97" i="48"/>
  <c r="N97" i="48"/>
  <c r="Z192" i="47"/>
  <c r="Y192" i="47"/>
  <c r="P192" i="47"/>
  <c r="N192" i="47"/>
  <c r="Z191" i="47"/>
  <c r="Y191" i="47"/>
  <c r="P191" i="47"/>
  <c r="N191" i="47"/>
  <c r="Z190" i="47"/>
  <c r="Y190" i="47"/>
  <c r="P190" i="47"/>
  <c r="N190" i="47"/>
  <c r="Z189" i="47"/>
  <c r="Y189" i="47"/>
  <c r="P189" i="47"/>
  <c r="N189" i="47"/>
  <c r="Z188" i="47"/>
  <c r="Y188" i="47"/>
  <c r="P188" i="47"/>
  <c r="N188" i="47"/>
  <c r="Z187" i="47"/>
  <c r="Y187" i="47"/>
  <c r="P187" i="47"/>
  <c r="N187" i="47"/>
  <c r="Z186" i="47"/>
  <c r="Y186" i="47"/>
  <c r="P186" i="47"/>
  <c r="N186" i="47"/>
  <c r="Z185" i="47"/>
  <c r="Y185" i="47"/>
  <c r="P185" i="47"/>
  <c r="N185" i="47"/>
  <c r="Z184" i="47"/>
  <c r="Y184" i="47"/>
  <c r="P184" i="47"/>
  <c r="N184" i="47"/>
  <c r="Z183" i="47"/>
  <c r="Y183" i="47"/>
  <c r="P183" i="47"/>
  <c r="N183" i="47"/>
  <c r="Z182" i="47"/>
  <c r="Y182" i="47"/>
  <c r="P182" i="47"/>
  <c r="N182" i="47"/>
  <c r="Z181" i="47"/>
  <c r="Y181" i="47"/>
  <c r="P181" i="47"/>
  <c r="N181" i="47"/>
  <c r="Z180" i="47"/>
  <c r="Y180" i="47"/>
  <c r="P180" i="47"/>
  <c r="N180" i="47"/>
  <c r="Z179" i="47"/>
  <c r="Y179" i="47"/>
  <c r="P179" i="47"/>
  <c r="N179" i="47"/>
  <c r="Z178" i="47"/>
  <c r="Y178" i="47"/>
  <c r="P178" i="47"/>
  <c r="N178" i="47"/>
  <c r="Z177" i="47"/>
  <c r="Y177" i="47"/>
  <c r="P177" i="47"/>
  <c r="N177" i="47"/>
  <c r="Z176" i="47"/>
  <c r="Y176" i="47"/>
  <c r="P176" i="47"/>
  <c r="N176" i="47"/>
  <c r="Z175" i="47"/>
  <c r="Y175" i="47"/>
  <c r="P175" i="47"/>
  <c r="N175" i="47"/>
  <c r="Z174" i="47"/>
  <c r="Y174" i="47"/>
  <c r="P174" i="47"/>
  <c r="N174" i="47"/>
  <c r="Z173" i="47"/>
  <c r="Y173" i="47"/>
  <c r="P173" i="47"/>
  <c r="N173" i="47"/>
  <c r="Z172" i="47"/>
  <c r="Y172" i="47"/>
  <c r="P172" i="47"/>
  <c r="N172" i="47"/>
  <c r="Z171" i="47"/>
  <c r="Y171" i="47"/>
  <c r="P171" i="47"/>
  <c r="N171" i="47"/>
  <c r="Z170" i="47"/>
  <c r="Y170" i="47"/>
  <c r="P170" i="47"/>
  <c r="N170" i="47"/>
  <c r="Z169" i="47"/>
  <c r="Y169" i="47"/>
  <c r="P169" i="47"/>
  <c r="N169" i="47"/>
  <c r="Z168" i="47"/>
  <c r="Y168" i="47"/>
  <c r="P168" i="47"/>
  <c r="N168" i="47"/>
  <c r="Z167" i="47"/>
  <c r="Y167" i="47"/>
  <c r="P167" i="47"/>
  <c r="N167" i="47"/>
  <c r="Z166" i="47"/>
  <c r="Y166" i="47"/>
  <c r="P166" i="47"/>
  <c r="N166" i="47"/>
  <c r="Z165" i="47"/>
  <c r="Y165" i="47"/>
  <c r="P165" i="47"/>
  <c r="N165" i="47"/>
  <c r="Z164" i="47"/>
  <c r="Y164" i="47"/>
  <c r="P164" i="47"/>
  <c r="N164" i="47"/>
  <c r="Z163" i="47"/>
  <c r="Y163" i="47"/>
  <c r="P163" i="47"/>
  <c r="N163" i="47"/>
  <c r="Z162" i="47"/>
  <c r="Y162" i="47"/>
  <c r="P162" i="47"/>
  <c r="N162" i="47"/>
  <c r="Z161" i="47"/>
  <c r="Y161" i="47"/>
  <c r="P161" i="47"/>
  <c r="N161" i="47"/>
  <c r="Z160" i="47"/>
  <c r="Y160" i="47"/>
  <c r="P160" i="47"/>
  <c r="N160" i="47"/>
  <c r="Z159" i="47"/>
  <c r="Y159" i="47"/>
  <c r="P159" i="47"/>
  <c r="N159" i="47"/>
  <c r="Z158" i="47"/>
  <c r="Y158" i="47"/>
  <c r="P158" i="47"/>
  <c r="N158" i="47"/>
  <c r="Z157" i="47"/>
  <c r="Y157" i="47"/>
  <c r="P157" i="47"/>
  <c r="N157" i="47"/>
  <c r="Z156" i="47"/>
  <c r="Y156" i="47"/>
  <c r="P156" i="47"/>
  <c r="N156" i="47"/>
  <c r="Z155" i="47"/>
  <c r="Y155" i="47"/>
  <c r="P155" i="47"/>
  <c r="N155" i="47"/>
  <c r="Z154" i="47"/>
  <c r="Y154" i="47"/>
  <c r="P154" i="47"/>
  <c r="N154" i="47"/>
  <c r="Z153" i="47"/>
  <c r="Y153" i="47"/>
  <c r="P153" i="47"/>
  <c r="N153" i="47"/>
  <c r="Z152" i="47"/>
  <c r="Y152" i="47"/>
  <c r="P152" i="47"/>
  <c r="N152" i="47"/>
  <c r="Z151" i="47"/>
  <c r="Y151" i="47"/>
  <c r="P151" i="47"/>
  <c r="N151" i="47"/>
  <c r="Z150" i="47"/>
  <c r="Y150" i="47"/>
  <c r="P150" i="47"/>
  <c r="N150" i="47"/>
  <c r="Z149" i="47"/>
  <c r="Y149" i="47"/>
  <c r="P149" i="47"/>
  <c r="N149" i="47"/>
  <c r="Z148" i="47"/>
  <c r="Y148" i="47"/>
  <c r="P148" i="47"/>
  <c r="N148" i="47"/>
  <c r="Z147" i="47"/>
  <c r="Y147" i="47"/>
  <c r="P147" i="47"/>
  <c r="N147" i="47"/>
  <c r="Z146" i="47"/>
  <c r="Y146" i="47"/>
  <c r="P146" i="47"/>
  <c r="N146" i="47"/>
  <c r="Z145" i="47"/>
  <c r="Y145" i="47"/>
  <c r="P145" i="47"/>
  <c r="N145" i="47"/>
  <c r="Z144" i="47"/>
  <c r="Y144" i="47"/>
  <c r="P144" i="47"/>
  <c r="N144" i="47"/>
  <c r="Z143" i="47"/>
  <c r="Y143" i="47"/>
  <c r="P143" i="47"/>
  <c r="N143" i="47"/>
  <c r="Z142" i="47"/>
  <c r="Y142" i="47"/>
  <c r="P142" i="47"/>
  <c r="N142" i="47"/>
  <c r="Z141" i="47"/>
  <c r="Y141" i="47"/>
  <c r="P141" i="47"/>
  <c r="N141" i="47"/>
  <c r="Z140" i="47"/>
  <c r="Y140" i="47"/>
  <c r="P140" i="47"/>
  <c r="N140" i="47"/>
  <c r="Z139" i="47"/>
  <c r="Y139" i="47"/>
  <c r="P139" i="47"/>
  <c r="N139" i="47"/>
  <c r="Z138" i="47"/>
  <c r="Y138" i="47"/>
  <c r="P138" i="47"/>
  <c r="N138" i="47"/>
  <c r="Z137" i="47"/>
  <c r="Y137" i="47"/>
  <c r="P137" i="47"/>
  <c r="N137" i="47"/>
  <c r="Z136" i="47"/>
  <c r="Y136" i="47"/>
  <c r="P136" i="47"/>
  <c r="N136" i="47"/>
  <c r="Z135" i="47"/>
  <c r="Y135" i="47"/>
  <c r="P135" i="47"/>
  <c r="N135" i="47"/>
  <c r="Z134" i="47"/>
  <c r="Y134" i="47"/>
  <c r="P134" i="47"/>
  <c r="N134" i="47"/>
  <c r="Z133" i="47"/>
  <c r="Y133" i="47"/>
  <c r="P133" i="47"/>
  <c r="N133" i="47"/>
  <c r="Z132" i="47"/>
  <c r="Y132" i="47"/>
  <c r="P132" i="47"/>
  <c r="N132" i="47"/>
  <c r="Z131" i="47"/>
  <c r="Y131" i="47"/>
  <c r="P131" i="47"/>
  <c r="N131" i="47"/>
  <c r="Z130" i="47"/>
  <c r="Y130" i="47"/>
  <c r="P130" i="47"/>
  <c r="N130" i="47"/>
  <c r="Z129" i="47"/>
  <c r="Y129" i="47"/>
  <c r="P129" i="47"/>
  <c r="N129" i="47"/>
  <c r="Z128" i="47"/>
  <c r="Y128" i="47"/>
  <c r="P128" i="47"/>
  <c r="N128" i="47"/>
  <c r="Z127" i="47"/>
  <c r="Y127" i="47"/>
  <c r="P127" i="47"/>
  <c r="N127" i="47"/>
  <c r="Z126" i="47"/>
  <c r="Y126" i="47"/>
  <c r="P126" i="47"/>
  <c r="N126" i="47"/>
  <c r="Z125" i="47"/>
  <c r="Y125" i="47"/>
  <c r="P125" i="47"/>
  <c r="N125" i="47"/>
  <c r="Z124" i="47"/>
  <c r="Y124" i="47"/>
  <c r="P124" i="47"/>
  <c r="N124" i="47"/>
  <c r="Z123" i="47"/>
  <c r="Y123" i="47"/>
  <c r="P123" i="47"/>
  <c r="N123" i="47"/>
  <c r="Z122" i="47"/>
  <c r="Y122" i="47"/>
  <c r="P122" i="47"/>
  <c r="N122" i="47"/>
  <c r="Z121" i="47"/>
  <c r="Y121" i="47"/>
  <c r="P121" i="47"/>
  <c r="N121" i="47"/>
  <c r="Z120" i="47"/>
  <c r="Y120" i="47"/>
  <c r="P120" i="47"/>
  <c r="N120" i="47"/>
  <c r="Z119" i="47"/>
  <c r="Y119" i="47"/>
  <c r="P119" i="47"/>
  <c r="N119" i="47"/>
  <c r="Z118" i="47"/>
  <c r="Y118" i="47"/>
  <c r="P118" i="47"/>
  <c r="N118" i="47"/>
  <c r="Z117" i="47"/>
  <c r="Y117" i="47"/>
  <c r="P117" i="47"/>
  <c r="N117" i="47"/>
  <c r="Z116" i="47"/>
  <c r="Y116" i="47"/>
  <c r="P116" i="47"/>
  <c r="N116" i="47"/>
  <c r="Z115" i="47"/>
  <c r="Y115" i="47"/>
  <c r="P115" i="47"/>
  <c r="N115" i="47"/>
  <c r="Z114" i="47"/>
  <c r="Y114" i="47"/>
  <c r="P114" i="47"/>
  <c r="N114" i="47"/>
  <c r="Z113" i="47"/>
  <c r="Y113" i="47"/>
  <c r="P113" i="47"/>
  <c r="N113" i="47"/>
  <c r="Z112" i="47"/>
  <c r="Y112" i="47"/>
  <c r="P112" i="47"/>
  <c r="N112" i="47"/>
  <c r="Z111" i="47"/>
  <c r="Y111" i="47"/>
  <c r="P111" i="47"/>
  <c r="N111" i="47"/>
  <c r="Z110" i="47"/>
  <c r="Y110" i="47"/>
  <c r="P110" i="47"/>
  <c r="N110" i="47"/>
  <c r="Z109" i="47"/>
  <c r="Y109" i="47"/>
  <c r="P109" i="47"/>
  <c r="N109" i="47"/>
  <c r="Z108" i="47"/>
  <c r="Y108" i="47"/>
  <c r="P108" i="47"/>
  <c r="N108" i="47"/>
  <c r="Z107" i="47"/>
  <c r="Y107" i="47"/>
  <c r="P107" i="47"/>
  <c r="N107" i="47"/>
  <c r="Z106" i="47"/>
  <c r="Y106" i="47"/>
  <c r="P106" i="47"/>
  <c r="N106" i="47"/>
  <c r="Z105" i="47"/>
  <c r="Y105" i="47"/>
  <c r="P105" i="47"/>
  <c r="N105" i="47"/>
  <c r="Z104" i="47"/>
  <c r="Y104" i="47"/>
  <c r="P104" i="47"/>
  <c r="N104" i="47"/>
  <c r="Z103" i="47"/>
  <c r="Y103" i="47"/>
  <c r="P103" i="47"/>
  <c r="N103" i="47"/>
  <c r="Z102" i="47"/>
  <c r="Y102" i="47"/>
  <c r="P102" i="47"/>
  <c r="N102" i="47"/>
  <c r="Z101" i="47"/>
  <c r="Y101" i="47"/>
  <c r="P101" i="47"/>
  <c r="N101" i="47"/>
  <c r="Z100" i="47"/>
  <c r="R31" i="47" s="1"/>
  <c r="Y100" i="47"/>
  <c r="R30" i="47" s="1"/>
  <c r="P100" i="47"/>
  <c r="N100" i="47"/>
  <c r="Z99" i="47"/>
  <c r="Y99" i="47"/>
  <c r="P99" i="47"/>
  <c r="N99" i="47"/>
  <c r="Z98" i="47"/>
  <c r="Y98" i="47"/>
  <c r="P98" i="47"/>
  <c r="N98" i="47"/>
  <c r="Z97" i="47"/>
  <c r="Y97" i="47"/>
  <c r="P97" i="47"/>
  <c r="N97" i="47"/>
  <c r="Z192" i="46"/>
  <c r="Y192" i="46"/>
  <c r="P192" i="46"/>
  <c r="N192" i="46"/>
  <c r="Z191" i="46"/>
  <c r="Y191" i="46"/>
  <c r="P191" i="46"/>
  <c r="N191" i="46"/>
  <c r="Z190" i="46"/>
  <c r="Y190" i="46"/>
  <c r="P190" i="46"/>
  <c r="N190" i="46"/>
  <c r="Z189" i="46"/>
  <c r="Y189" i="46"/>
  <c r="P189" i="46"/>
  <c r="N189" i="46"/>
  <c r="Z188" i="46"/>
  <c r="Y188" i="46"/>
  <c r="P188" i="46"/>
  <c r="N188" i="46"/>
  <c r="Z187" i="46"/>
  <c r="Y187" i="46"/>
  <c r="P187" i="46"/>
  <c r="N187" i="46"/>
  <c r="Z186" i="46"/>
  <c r="Y186" i="46"/>
  <c r="P186" i="46"/>
  <c r="N186" i="46"/>
  <c r="Z185" i="46"/>
  <c r="Y185" i="46"/>
  <c r="P185" i="46"/>
  <c r="N185" i="46"/>
  <c r="Z184" i="46"/>
  <c r="Y184" i="46"/>
  <c r="P184" i="46"/>
  <c r="N184" i="46"/>
  <c r="Z183" i="46"/>
  <c r="Y183" i="46"/>
  <c r="P183" i="46"/>
  <c r="N183" i="46"/>
  <c r="Z182" i="46"/>
  <c r="Y182" i="46"/>
  <c r="P182" i="46"/>
  <c r="N182" i="46"/>
  <c r="Z181" i="46"/>
  <c r="Y181" i="46"/>
  <c r="P181" i="46"/>
  <c r="N181" i="46"/>
  <c r="Z180" i="46"/>
  <c r="Y180" i="46"/>
  <c r="P180" i="46"/>
  <c r="N180" i="46"/>
  <c r="Z179" i="46"/>
  <c r="Y179" i="46"/>
  <c r="P179" i="46"/>
  <c r="N179" i="46"/>
  <c r="Z178" i="46"/>
  <c r="Y178" i="46"/>
  <c r="P178" i="46"/>
  <c r="N178" i="46"/>
  <c r="Z177" i="46"/>
  <c r="Y177" i="46"/>
  <c r="P177" i="46"/>
  <c r="N177" i="46"/>
  <c r="Z176" i="46"/>
  <c r="Y176" i="46"/>
  <c r="P176" i="46"/>
  <c r="N176" i="46"/>
  <c r="Z175" i="46"/>
  <c r="Y175" i="46"/>
  <c r="P175" i="46"/>
  <c r="N175" i="46"/>
  <c r="Z174" i="46"/>
  <c r="Y174" i="46"/>
  <c r="P174" i="46"/>
  <c r="N174" i="46"/>
  <c r="Z173" i="46"/>
  <c r="Y173" i="46"/>
  <c r="P173" i="46"/>
  <c r="N173" i="46"/>
  <c r="Z172" i="46"/>
  <c r="Y172" i="46"/>
  <c r="P172" i="46"/>
  <c r="N172" i="46"/>
  <c r="Z171" i="46"/>
  <c r="Y171" i="46"/>
  <c r="P171" i="46"/>
  <c r="N171" i="46"/>
  <c r="Z170" i="46"/>
  <c r="Y170" i="46"/>
  <c r="P170" i="46"/>
  <c r="N170" i="46"/>
  <c r="Z169" i="46"/>
  <c r="Y169" i="46"/>
  <c r="P169" i="46"/>
  <c r="N169" i="46"/>
  <c r="Z168" i="46"/>
  <c r="Y168" i="46"/>
  <c r="P168" i="46"/>
  <c r="N168" i="46"/>
  <c r="Z167" i="46"/>
  <c r="Y167" i="46"/>
  <c r="P167" i="46"/>
  <c r="N167" i="46"/>
  <c r="Z166" i="46"/>
  <c r="Y166" i="46"/>
  <c r="P166" i="46"/>
  <c r="N166" i="46"/>
  <c r="Z165" i="46"/>
  <c r="Y165" i="46"/>
  <c r="P165" i="46"/>
  <c r="N165" i="46"/>
  <c r="Z164" i="46"/>
  <c r="Y164" i="46"/>
  <c r="P164" i="46"/>
  <c r="N164" i="46"/>
  <c r="Z163" i="46"/>
  <c r="Y163" i="46"/>
  <c r="P163" i="46"/>
  <c r="N163" i="46"/>
  <c r="Z162" i="46"/>
  <c r="Y162" i="46"/>
  <c r="P162" i="46"/>
  <c r="N162" i="46"/>
  <c r="Z161" i="46"/>
  <c r="Y161" i="46"/>
  <c r="P161" i="46"/>
  <c r="N161" i="46"/>
  <c r="Z160" i="46"/>
  <c r="Y160" i="46"/>
  <c r="P160" i="46"/>
  <c r="N160" i="46"/>
  <c r="Z159" i="46"/>
  <c r="Y159" i="46"/>
  <c r="P159" i="46"/>
  <c r="N159" i="46"/>
  <c r="Z158" i="46"/>
  <c r="Y158" i="46"/>
  <c r="P158" i="46"/>
  <c r="N158" i="46"/>
  <c r="Z157" i="46"/>
  <c r="Y157" i="46"/>
  <c r="P157" i="46"/>
  <c r="N157" i="46"/>
  <c r="Z156" i="46"/>
  <c r="Y156" i="46"/>
  <c r="P156" i="46"/>
  <c r="N156" i="46"/>
  <c r="Z155" i="46"/>
  <c r="Y155" i="46"/>
  <c r="P155" i="46"/>
  <c r="N155" i="46"/>
  <c r="Z154" i="46"/>
  <c r="Y154" i="46"/>
  <c r="P154" i="46"/>
  <c r="N154" i="46"/>
  <c r="Z153" i="46"/>
  <c r="Y153" i="46"/>
  <c r="P153" i="46"/>
  <c r="N153" i="46"/>
  <c r="Z152" i="46"/>
  <c r="Y152" i="46"/>
  <c r="P152" i="46"/>
  <c r="N152" i="46"/>
  <c r="Z151" i="46"/>
  <c r="Y151" i="46"/>
  <c r="P151" i="46"/>
  <c r="N151" i="46"/>
  <c r="Z150" i="46"/>
  <c r="Y150" i="46"/>
  <c r="P150" i="46"/>
  <c r="N150" i="46"/>
  <c r="Z149" i="46"/>
  <c r="Y149" i="46"/>
  <c r="P149" i="46"/>
  <c r="N149" i="46"/>
  <c r="Z148" i="46"/>
  <c r="Y148" i="46"/>
  <c r="P148" i="46"/>
  <c r="N148" i="46"/>
  <c r="Z147" i="46"/>
  <c r="Y147" i="46"/>
  <c r="P147" i="46"/>
  <c r="N147" i="46"/>
  <c r="Z146" i="46"/>
  <c r="Y146" i="46"/>
  <c r="P146" i="46"/>
  <c r="N146" i="46"/>
  <c r="Z145" i="46"/>
  <c r="Y145" i="46"/>
  <c r="P145" i="46"/>
  <c r="N145" i="46"/>
  <c r="Z144" i="46"/>
  <c r="Y144" i="46"/>
  <c r="P144" i="46"/>
  <c r="N144" i="46"/>
  <c r="Z143" i="46"/>
  <c r="Y143" i="46"/>
  <c r="P143" i="46"/>
  <c r="N143" i="46"/>
  <c r="Z142" i="46"/>
  <c r="Y142" i="46"/>
  <c r="P142" i="46"/>
  <c r="N142" i="46"/>
  <c r="Z141" i="46"/>
  <c r="Y141" i="46"/>
  <c r="P141" i="46"/>
  <c r="N141" i="46"/>
  <c r="Z140" i="46"/>
  <c r="Y140" i="46"/>
  <c r="P140" i="46"/>
  <c r="N140" i="46"/>
  <c r="Z139" i="46"/>
  <c r="Y139" i="46"/>
  <c r="P139" i="46"/>
  <c r="N139" i="46"/>
  <c r="Z138" i="46"/>
  <c r="Y138" i="46"/>
  <c r="P138" i="46"/>
  <c r="N138" i="46"/>
  <c r="Z137" i="46"/>
  <c r="Y137" i="46"/>
  <c r="P137" i="46"/>
  <c r="N137" i="46"/>
  <c r="Z136" i="46"/>
  <c r="Y136" i="46"/>
  <c r="P136" i="46"/>
  <c r="N136" i="46"/>
  <c r="Z135" i="46"/>
  <c r="Y135" i="46"/>
  <c r="P135" i="46"/>
  <c r="N135" i="46"/>
  <c r="Z134" i="46"/>
  <c r="Y134" i="46"/>
  <c r="P134" i="46"/>
  <c r="N134" i="46"/>
  <c r="Z133" i="46"/>
  <c r="Y133" i="46"/>
  <c r="P133" i="46"/>
  <c r="N133" i="46"/>
  <c r="Z132" i="46"/>
  <c r="Y132" i="46"/>
  <c r="P132" i="46"/>
  <c r="N132" i="46"/>
  <c r="Z131" i="46"/>
  <c r="Y131" i="46"/>
  <c r="P131" i="46"/>
  <c r="N131" i="46"/>
  <c r="Z130" i="46"/>
  <c r="Y130" i="46"/>
  <c r="P130" i="46"/>
  <c r="N130" i="46"/>
  <c r="Z129" i="46"/>
  <c r="Y129" i="46"/>
  <c r="P129" i="46"/>
  <c r="N129" i="46"/>
  <c r="Z128" i="46"/>
  <c r="Y128" i="46"/>
  <c r="P128" i="46"/>
  <c r="N128" i="46"/>
  <c r="Z127" i="46"/>
  <c r="Y127" i="46"/>
  <c r="P127" i="46"/>
  <c r="N127" i="46"/>
  <c r="Z126" i="46"/>
  <c r="Y126" i="46"/>
  <c r="P126" i="46"/>
  <c r="N126" i="46"/>
  <c r="Z125" i="46"/>
  <c r="Y125" i="46"/>
  <c r="P125" i="46"/>
  <c r="N125" i="46"/>
  <c r="Z124" i="46"/>
  <c r="Y124" i="46"/>
  <c r="P124" i="46"/>
  <c r="N124" i="46"/>
  <c r="Z123" i="46"/>
  <c r="Y123" i="46"/>
  <c r="P123" i="46"/>
  <c r="N123" i="46"/>
  <c r="Z122" i="46"/>
  <c r="Y122" i="46"/>
  <c r="P122" i="46"/>
  <c r="N122" i="46"/>
  <c r="Z121" i="46"/>
  <c r="Y121" i="46"/>
  <c r="P121" i="46"/>
  <c r="N121" i="46"/>
  <c r="Z120" i="46"/>
  <c r="Y120" i="46"/>
  <c r="P120" i="46"/>
  <c r="N120" i="46"/>
  <c r="Z119" i="46"/>
  <c r="Y119" i="46"/>
  <c r="P119" i="46"/>
  <c r="N119" i="46"/>
  <c r="Z118" i="46"/>
  <c r="Y118" i="46"/>
  <c r="P118" i="46"/>
  <c r="N118" i="46"/>
  <c r="Z117" i="46"/>
  <c r="Y117" i="46"/>
  <c r="P117" i="46"/>
  <c r="N117" i="46"/>
  <c r="Z116" i="46"/>
  <c r="Y116" i="46"/>
  <c r="P116" i="46"/>
  <c r="N116" i="46"/>
  <c r="Z115" i="46"/>
  <c r="Y115" i="46"/>
  <c r="P115" i="46"/>
  <c r="N115" i="46"/>
  <c r="Z114" i="46"/>
  <c r="Y114" i="46"/>
  <c r="P114" i="46"/>
  <c r="N114" i="46"/>
  <c r="Z113" i="46"/>
  <c r="Y113" i="46"/>
  <c r="P113" i="46"/>
  <c r="N113" i="46"/>
  <c r="Z112" i="46"/>
  <c r="Y112" i="46"/>
  <c r="P112" i="46"/>
  <c r="N112" i="46"/>
  <c r="Z111" i="46"/>
  <c r="Y111" i="46"/>
  <c r="P111" i="46"/>
  <c r="N111" i="46"/>
  <c r="Z110" i="46"/>
  <c r="Y110" i="46"/>
  <c r="P110" i="46"/>
  <c r="N110" i="46"/>
  <c r="Z109" i="46"/>
  <c r="Y109" i="46"/>
  <c r="P109" i="46"/>
  <c r="N109" i="46"/>
  <c r="Z108" i="46"/>
  <c r="Y108" i="46"/>
  <c r="P108" i="46"/>
  <c r="N108" i="46"/>
  <c r="Z107" i="46"/>
  <c r="Y107" i="46"/>
  <c r="P107" i="46"/>
  <c r="N107" i="46"/>
  <c r="Z106" i="46"/>
  <c r="Y106" i="46"/>
  <c r="P106" i="46"/>
  <c r="N106" i="46"/>
  <c r="Z105" i="46"/>
  <c r="Y105" i="46"/>
  <c r="P105" i="46"/>
  <c r="N105" i="46"/>
  <c r="Z104" i="46"/>
  <c r="Y104" i="46"/>
  <c r="P104" i="46"/>
  <c r="N104" i="46"/>
  <c r="Z103" i="46"/>
  <c r="Y103" i="46"/>
  <c r="P103" i="46"/>
  <c r="N103" i="46"/>
  <c r="Z102" i="46"/>
  <c r="Y102" i="46"/>
  <c r="P102" i="46"/>
  <c r="N102" i="46"/>
  <c r="Z101" i="46"/>
  <c r="Y101" i="46"/>
  <c r="P101" i="46"/>
  <c r="N101" i="46"/>
  <c r="Z100" i="46"/>
  <c r="R31" i="46" s="1"/>
  <c r="Y100" i="46"/>
  <c r="R30" i="46" s="1"/>
  <c r="P100" i="46"/>
  <c r="N100" i="46"/>
  <c r="Z99" i="46"/>
  <c r="Y99" i="46"/>
  <c r="P99" i="46"/>
  <c r="N99" i="46"/>
  <c r="Z98" i="46"/>
  <c r="Y98" i="46"/>
  <c r="P98" i="46"/>
  <c r="N98" i="46"/>
  <c r="Z97" i="46"/>
  <c r="Y97" i="46"/>
  <c r="P97" i="46"/>
  <c r="N97" i="46"/>
  <c r="Z192" i="45"/>
  <c r="Y192" i="45"/>
  <c r="P192" i="45"/>
  <c r="N192" i="45"/>
  <c r="Z191" i="45"/>
  <c r="Y191" i="45"/>
  <c r="P191" i="45"/>
  <c r="N191" i="45"/>
  <c r="Z190" i="45"/>
  <c r="Y190" i="45"/>
  <c r="P190" i="45"/>
  <c r="N190" i="45"/>
  <c r="Z189" i="45"/>
  <c r="Y189" i="45"/>
  <c r="P189" i="45"/>
  <c r="N189" i="45"/>
  <c r="Z188" i="45"/>
  <c r="Y188" i="45"/>
  <c r="P188" i="45"/>
  <c r="N188" i="45"/>
  <c r="Z187" i="45"/>
  <c r="Y187" i="45"/>
  <c r="P187" i="45"/>
  <c r="N187" i="45"/>
  <c r="Z186" i="45"/>
  <c r="Y186" i="45"/>
  <c r="P186" i="45"/>
  <c r="N186" i="45"/>
  <c r="Z185" i="45"/>
  <c r="Y185" i="45"/>
  <c r="P185" i="45"/>
  <c r="N185" i="45"/>
  <c r="Z184" i="45"/>
  <c r="Y184" i="45"/>
  <c r="P184" i="45"/>
  <c r="N184" i="45"/>
  <c r="Z183" i="45"/>
  <c r="Y183" i="45"/>
  <c r="P183" i="45"/>
  <c r="N183" i="45"/>
  <c r="Z182" i="45"/>
  <c r="Y182" i="45"/>
  <c r="P182" i="45"/>
  <c r="N182" i="45"/>
  <c r="Z181" i="45"/>
  <c r="Y181" i="45"/>
  <c r="P181" i="45"/>
  <c r="N181" i="45"/>
  <c r="Z180" i="45"/>
  <c r="Y180" i="45"/>
  <c r="P180" i="45"/>
  <c r="N180" i="45"/>
  <c r="Z179" i="45"/>
  <c r="Y179" i="45"/>
  <c r="P179" i="45"/>
  <c r="N179" i="45"/>
  <c r="Z178" i="45"/>
  <c r="Y178" i="45"/>
  <c r="P178" i="45"/>
  <c r="N178" i="45"/>
  <c r="Z177" i="45"/>
  <c r="Y177" i="45"/>
  <c r="P177" i="45"/>
  <c r="N177" i="45"/>
  <c r="Z176" i="45"/>
  <c r="Y176" i="45"/>
  <c r="P176" i="45"/>
  <c r="N176" i="45"/>
  <c r="Z175" i="45"/>
  <c r="Y175" i="45"/>
  <c r="P175" i="45"/>
  <c r="N175" i="45"/>
  <c r="Z174" i="45"/>
  <c r="Y174" i="45"/>
  <c r="P174" i="45"/>
  <c r="N174" i="45"/>
  <c r="Z173" i="45"/>
  <c r="Y173" i="45"/>
  <c r="P173" i="45"/>
  <c r="N173" i="45"/>
  <c r="Z172" i="45"/>
  <c r="Y172" i="45"/>
  <c r="P172" i="45"/>
  <c r="N172" i="45"/>
  <c r="Z171" i="45"/>
  <c r="Y171" i="45"/>
  <c r="P171" i="45"/>
  <c r="N171" i="45"/>
  <c r="Z170" i="45"/>
  <c r="Y170" i="45"/>
  <c r="P170" i="45"/>
  <c r="N170" i="45"/>
  <c r="Z169" i="45"/>
  <c r="Y169" i="45"/>
  <c r="P169" i="45"/>
  <c r="N169" i="45"/>
  <c r="Z168" i="45"/>
  <c r="Y168" i="45"/>
  <c r="P168" i="45"/>
  <c r="N168" i="45"/>
  <c r="Z167" i="45"/>
  <c r="Y167" i="45"/>
  <c r="P167" i="45"/>
  <c r="N167" i="45"/>
  <c r="Z166" i="45"/>
  <c r="Y166" i="45"/>
  <c r="P166" i="45"/>
  <c r="N166" i="45"/>
  <c r="Z165" i="45"/>
  <c r="Y165" i="45"/>
  <c r="P165" i="45"/>
  <c r="N165" i="45"/>
  <c r="Z164" i="45"/>
  <c r="Y164" i="45"/>
  <c r="P164" i="45"/>
  <c r="N164" i="45"/>
  <c r="Z163" i="45"/>
  <c r="Y163" i="45"/>
  <c r="P163" i="45"/>
  <c r="N163" i="45"/>
  <c r="Z162" i="45"/>
  <c r="Y162" i="45"/>
  <c r="P162" i="45"/>
  <c r="N162" i="45"/>
  <c r="Z161" i="45"/>
  <c r="Y161" i="45"/>
  <c r="P161" i="45"/>
  <c r="N161" i="45"/>
  <c r="Z160" i="45"/>
  <c r="Y160" i="45"/>
  <c r="P160" i="45"/>
  <c r="N160" i="45"/>
  <c r="Z159" i="45"/>
  <c r="Y159" i="45"/>
  <c r="P159" i="45"/>
  <c r="N159" i="45"/>
  <c r="Z158" i="45"/>
  <c r="Y158" i="45"/>
  <c r="P158" i="45"/>
  <c r="N158" i="45"/>
  <c r="Z157" i="45"/>
  <c r="Y157" i="45"/>
  <c r="P157" i="45"/>
  <c r="N157" i="45"/>
  <c r="Z156" i="45"/>
  <c r="Y156" i="45"/>
  <c r="P156" i="45"/>
  <c r="N156" i="45"/>
  <c r="Z155" i="45"/>
  <c r="Y155" i="45"/>
  <c r="P155" i="45"/>
  <c r="N155" i="45"/>
  <c r="Z154" i="45"/>
  <c r="Y154" i="45"/>
  <c r="P154" i="45"/>
  <c r="N154" i="45"/>
  <c r="Z153" i="45"/>
  <c r="Y153" i="45"/>
  <c r="P153" i="45"/>
  <c r="N153" i="45"/>
  <c r="Z152" i="45"/>
  <c r="Y152" i="45"/>
  <c r="P152" i="45"/>
  <c r="N152" i="45"/>
  <c r="Z151" i="45"/>
  <c r="Y151" i="45"/>
  <c r="P151" i="45"/>
  <c r="N151" i="45"/>
  <c r="Z150" i="45"/>
  <c r="Y150" i="45"/>
  <c r="P150" i="45"/>
  <c r="N150" i="45"/>
  <c r="Z149" i="45"/>
  <c r="Y149" i="45"/>
  <c r="P149" i="45"/>
  <c r="N149" i="45"/>
  <c r="Z148" i="45"/>
  <c r="Y148" i="45"/>
  <c r="P148" i="45"/>
  <c r="N148" i="45"/>
  <c r="Z147" i="45"/>
  <c r="Y147" i="45"/>
  <c r="P147" i="45"/>
  <c r="N147" i="45"/>
  <c r="Z146" i="45"/>
  <c r="Y146" i="45"/>
  <c r="P146" i="45"/>
  <c r="N146" i="45"/>
  <c r="Z145" i="45"/>
  <c r="Y145" i="45"/>
  <c r="P145" i="45"/>
  <c r="N145" i="45"/>
  <c r="Z144" i="45"/>
  <c r="Y144" i="45"/>
  <c r="P144" i="45"/>
  <c r="N144" i="45"/>
  <c r="Z143" i="45"/>
  <c r="Y143" i="45"/>
  <c r="P143" i="45"/>
  <c r="N143" i="45"/>
  <c r="Z142" i="45"/>
  <c r="Y142" i="45"/>
  <c r="P142" i="45"/>
  <c r="N142" i="45"/>
  <c r="Z141" i="45"/>
  <c r="Y141" i="45"/>
  <c r="P141" i="45"/>
  <c r="N141" i="45"/>
  <c r="Z140" i="45"/>
  <c r="Y140" i="45"/>
  <c r="P140" i="45"/>
  <c r="N140" i="45"/>
  <c r="Z139" i="45"/>
  <c r="Y139" i="45"/>
  <c r="P139" i="45"/>
  <c r="N139" i="45"/>
  <c r="Z138" i="45"/>
  <c r="Y138" i="45"/>
  <c r="P138" i="45"/>
  <c r="N138" i="45"/>
  <c r="Z137" i="45"/>
  <c r="Y137" i="45"/>
  <c r="P137" i="45"/>
  <c r="N137" i="45"/>
  <c r="Z136" i="45"/>
  <c r="Y136" i="45"/>
  <c r="P136" i="45"/>
  <c r="N136" i="45"/>
  <c r="Z135" i="45"/>
  <c r="Y135" i="45"/>
  <c r="P135" i="45"/>
  <c r="N135" i="45"/>
  <c r="Z134" i="45"/>
  <c r="Y134" i="45"/>
  <c r="P134" i="45"/>
  <c r="N134" i="45"/>
  <c r="Z133" i="45"/>
  <c r="Y133" i="45"/>
  <c r="P133" i="45"/>
  <c r="N133" i="45"/>
  <c r="Z132" i="45"/>
  <c r="Y132" i="45"/>
  <c r="P132" i="45"/>
  <c r="N132" i="45"/>
  <c r="Z131" i="45"/>
  <c r="Y131" i="45"/>
  <c r="P131" i="45"/>
  <c r="N131" i="45"/>
  <c r="Z130" i="45"/>
  <c r="Y130" i="45"/>
  <c r="P130" i="45"/>
  <c r="N130" i="45"/>
  <c r="Z129" i="45"/>
  <c r="Y129" i="45"/>
  <c r="P129" i="45"/>
  <c r="N129" i="45"/>
  <c r="Z128" i="45"/>
  <c r="Y128" i="45"/>
  <c r="P128" i="45"/>
  <c r="N128" i="45"/>
  <c r="Z127" i="45"/>
  <c r="Y127" i="45"/>
  <c r="P127" i="45"/>
  <c r="N127" i="45"/>
  <c r="Z126" i="45"/>
  <c r="Y126" i="45"/>
  <c r="P126" i="45"/>
  <c r="N126" i="45"/>
  <c r="Z125" i="45"/>
  <c r="Y125" i="45"/>
  <c r="P125" i="45"/>
  <c r="N125" i="45"/>
  <c r="Z124" i="45"/>
  <c r="Y124" i="45"/>
  <c r="P124" i="45"/>
  <c r="N124" i="45"/>
  <c r="Z123" i="45"/>
  <c r="Y123" i="45"/>
  <c r="P123" i="45"/>
  <c r="N123" i="45"/>
  <c r="Z122" i="45"/>
  <c r="Y122" i="45"/>
  <c r="P122" i="45"/>
  <c r="N122" i="45"/>
  <c r="Z121" i="45"/>
  <c r="Y121" i="45"/>
  <c r="P121" i="45"/>
  <c r="N121" i="45"/>
  <c r="Z120" i="45"/>
  <c r="Y120" i="45"/>
  <c r="P120" i="45"/>
  <c r="N120" i="45"/>
  <c r="Z119" i="45"/>
  <c r="Y119" i="45"/>
  <c r="P119" i="45"/>
  <c r="N119" i="45"/>
  <c r="Z118" i="45"/>
  <c r="Y118" i="45"/>
  <c r="P118" i="45"/>
  <c r="N118" i="45"/>
  <c r="Z117" i="45"/>
  <c r="Y117" i="45"/>
  <c r="P117" i="45"/>
  <c r="N117" i="45"/>
  <c r="Z116" i="45"/>
  <c r="Y116" i="45"/>
  <c r="P116" i="45"/>
  <c r="N116" i="45"/>
  <c r="Z115" i="45"/>
  <c r="Y115" i="45"/>
  <c r="P115" i="45"/>
  <c r="N115" i="45"/>
  <c r="Z114" i="45"/>
  <c r="Y114" i="45"/>
  <c r="P114" i="45"/>
  <c r="N114" i="45"/>
  <c r="Z113" i="45"/>
  <c r="Y113" i="45"/>
  <c r="P113" i="45"/>
  <c r="N113" i="45"/>
  <c r="Z112" i="45"/>
  <c r="Y112" i="45"/>
  <c r="P112" i="45"/>
  <c r="N112" i="45"/>
  <c r="Z111" i="45"/>
  <c r="Y111" i="45"/>
  <c r="P111" i="45"/>
  <c r="N111" i="45"/>
  <c r="Z110" i="45"/>
  <c r="Y110" i="45"/>
  <c r="P110" i="45"/>
  <c r="N110" i="45"/>
  <c r="Z109" i="45"/>
  <c r="Y109" i="45"/>
  <c r="P109" i="45"/>
  <c r="N109" i="45"/>
  <c r="Z108" i="45"/>
  <c r="Y108" i="45"/>
  <c r="P108" i="45"/>
  <c r="N108" i="45"/>
  <c r="Z107" i="45"/>
  <c r="Y107" i="45"/>
  <c r="P107" i="45"/>
  <c r="N107" i="45"/>
  <c r="Z106" i="45"/>
  <c r="Y106" i="45"/>
  <c r="P106" i="45"/>
  <c r="N106" i="45"/>
  <c r="Z105" i="45"/>
  <c r="Y105" i="45"/>
  <c r="P105" i="45"/>
  <c r="N105" i="45"/>
  <c r="Z104" i="45"/>
  <c r="Y104" i="45"/>
  <c r="P104" i="45"/>
  <c r="N104" i="45"/>
  <c r="Z103" i="45"/>
  <c r="Y103" i="45"/>
  <c r="P103" i="45"/>
  <c r="N103" i="45"/>
  <c r="Z102" i="45"/>
  <c r="Y102" i="45"/>
  <c r="P102" i="45"/>
  <c r="N102" i="45"/>
  <c r="Z101" i="45"/>
  <c r="Y101" i="45"/>
  <c r="P101" i="45"/>
  <c r="N101" i="45"/>
  <c r="Z100" i="45"/>
  <c r="R31" i="45" s="1"/>
  <c r="Y100" i="45"/>
  <c r="R30" i="45" s="1"/>
  <c r="P100" i="45"/>
  <c r="N100" i="45"/>
  <c r="Z99" i="45"/>
  <c r="Y99" i="45"/>
  <c r="P99" i="45"/>
  <c r="N99" i="45"/>
  <c r="Z98" i="45"/>
  <c r="Y98" i="45"/>
  <c r="P98" i="45"/>
  <c r="N98" i="45"/>
  <c r="Z97" i="45"/>
  <c r="Y97" i="45"/>
  <c r="P97" i="45"/>
  <c r="N97" i="45"/>
  <c r="Z192" i="44"/>
  <c r="Y192" i="44"/>
  <c r="P192" i="44"/>
  <c r="N192" i="44"/>
  <c r="Z191" i="44"/>
  <c r="Y191" i="44"/>
  <c r="P191" i="44"/>
  <c r="N191" i="44"/>
  <c r="Z190" i="44"/>
  <c r="Y190" i="44"/>
  <c r="P190" i="44"/>
  <c r="N190" i="44"/>
  <c r="Z189" i="44"/>
  <c r="Y189" i="44"/>
  <c r="P189" i="44"/>
  <c r="N189" i="44"/>
  <c r="Z188" i="44"/>
  <c r="Y188" i="44"/>
  <c r="P188" i="44"/>
  <c r="N188" i="44"/>
  <c r="Z187" i="44"/>
  <c r="Y187" i="44"/>
  <c r="P187" i="44"/>
  <c r="N187" i="44"/>
  <c r="Z186" i="44"/>
  <c r="Y186" i="44"/>
  <c r="P186" i="44"/>
  <c r="N186" i="44"/>
  <c r="Z185" i="44"/>
  <c r="Y185" i="44"/>
  <c r="P185" i="44"/>
  <c r="N185" i="44"/>
  <c r="Z184" i="44"/>
  <c r="Y184" i="44"/>
  <c r="P184" i="44"/>
  <c r="N184" i="44"/>
  <c r="Z183" i="44"/>
  <c r="Y183" i="44"/>
  <c r="P183" i="44"/>
  <c r="N183" i="44"/>
  <c r="Z182" i="44"/>
  <c r="Y182" i="44"/>
  <c r="P182" i="44"/>
  <c r="N182" i="44"/>
  <c r="Z181" i="44"/>
  <c r="Y181" i="44"/>
  <c r="P181" i="44"/>
  <c r="N181" i="44"/>
  <c r="Z180" i="44"/>
  <c r="Y180" i="44"/>
  <c r="P180" i="44"/>
  <c r="N180" i="44"/>
  <c r="Z179" i="44"/>
  <c r="Y179" i="44"/>
  <c r="P179" i="44"/>
  <c r="N179" i="44"/>
  <c r="Z178" i="44"/>
  <c r="Y178" i="44"/>
  <c r="P178" i="44"/>
  <c r="N178" i="44"/>
  <c r="Z177" i="44"/>
  <c r="Y177" i="44"/>
  <c r="P177" i="44"/>
  <c r="N177" i="44"/>
  <c r="Z176" i="44"/>
  <c r="Y176" i="44"/>
  <c r="P176" i="44"/>
  <c r="N176" i="44"/>
  <c r="Z175" i="44"/>
  <c r="Y175" i="44"/>
  <c r="P175" i="44"/>
  <c r="N175" i="44"/>
  <c r="Z174" i="44"/>
  <c r="Y174" i="44"/>
  <c r="P174" i="44"/>
  <c r="N174" i="44"/>
  <c r="Z173" i="44"/>
  <c r="Y173" i="44"/>
  <c r="P173" i="44"/>
  <c r="N173" i="44"/>
  <c r="Z172" i="44"/>
  <c r="Y172" i="44"/>
  <c r="P172" i="44"/>
  <c r="N172" i="44"/>
  <c r="Z171" i="44"/>
  <c r="Y171" i="44"/>
  <c r="P171" i="44"/>
  <c r="N171" i="44"/>
  <c r="Z170" i="44"/>
  <c r="Y170" i="44"/>
  <c r="P170" i="44"/>
  <c r="N170" i="44"/>
  <c r="Z169" i="44"/>
  <c r="Y169" i="44"/>
  <c r="P169" i="44"/>
  <c r="N169" i="44"/>
  <c r="Z168" i="44"/>
  <c r="Y168" i="44"/>
  <c r="P168" i="44"/>
  <c r="N168" i="44"/>
  <c r="Z167" i="44"/>
  <c r="Y167" i="44"/>
  <c r="P167" i="44"/>
  <c r="N167" i="44"/>
  <c r="Z166" i="44"/>
  <c r="Y166" i="44"/>
  <c r="P166" i="44"/>
  <c r="N166" i="44"/>
  <c r="Z165" i="44"/>
  <c r="Y165" i="44"/>
  <c r="P165" i="44"/>
  <c r="N165" i="44"/>
  <c r="Z164" i="44"/>
  <c r="Y164" i="44"/>
  <c r="P164" i="44"/>
  <c r="N164" i="44"/>
  <c r="Z163" i="44"/>
  <c r="Y163" i="44"/>
  <c r="P163" i="44"/>
  <c r="N163" i="44"/>
  <c r="Z162" i="44"/>
  <c r="Y162" i="44"/>
  <c r="P162" i="44"/>
  <c r="N162" i="44"/>
  <c r="Z161" i="44"/>
  <c r="Y161" i="44"/>
  <c r="P161" i="44"/>
  <c r="N161" i="44"/>
  <c r="Z160" i="44"/>
  <c r="Y160" i="44"/>
  <c r="P160" i="44"/>
  <c r="N160" i="44"/>
  <c r="Z159" i="44"/>
  <c r="Y159" i="44"/>
  <c r="P159" i="44"/>
  <c r="N159" i="44"/>
  <c r="Z158" i="44"/>
  <c r="Y158" i="44"/>
  <c r="P158" i="44"/>
  <c r="N158" i="44"/>
  <c r="Z157" i="44"/>
  <c r="Y157" i="44"/>
  <c r="P157" i="44"/>
  <c r="N157" i="44"/>
  <c r="Z156" i="44"/>
  <c r="Y156" i="44"/>
  <c r="P156" i="44"/>
  <c r="N156" i="44"/>
  <c r="Z155" i="44"/>
  <c r="Y155" i="44"/>
  <c r="P155" i="44"/>
  <c r="N155" i="44"/>
  <c r="Z154" i="44"/>
  <c r="Y154" i="44"/>
  <c r="P154" i="44"/>
  <c r="N154" i="44"/>
  <c r="Z153" i="44"/>
  <c r="Y153" i="44"/>
  <c r="P153" i="44"/>
  <c r="N153" i="44"/>
  <c r="Z152" i="44"/>
  <c r="Y152" i="44"/>
  <c r="P152" i="44"/>
  <c r="N152" i="44"/>
  <c r="Z151" i="44"/>
  <c r="Y151" i="44"/>
  <c r="P151" i="44"/>
  <c r="N151" i="44"/>
  <c r="Z150" i="44"/>
  <c r="Y150" i="44"/>
  <c r="P150" i="44"/>
  <c r="N150" i="44"/>
  <c r="Z149" i="44"/>
  <c r="Y149" i="44"/>
  <c r="P149" i="44"/>
  <c r="N149" i="44"/>
  <c r="Z148" i="44"/>
  <c r="Y148" i="44"/>
  <c r="P148" i="44"/>
  <c r="N148" i="44"/>
  <c r="Z147" i="44"/>
  <c r="Y147" i="44"/>
  <c r="P147" i="44"/>
  <c r="N147" i="44"/>
  <c r="Z146" i="44"/>
  <c r="Y146" i="44"/>
  <c r="P146" i="44"/>
  <c r="N146" i="44"/>
  <c r="Z145" i="44"/>
  <c r="Y145" i="44"/>
  <c r="P145" i="44"/>
  <c r="N145" i="44"/>
  <c r="Z144" i="44"/>
  <c r="Y144" i="44"/>
  <c r="P144" i="44"/>
  <c r="N144" i="44"/>
  <c r="Z143" i="44"/>
  <c r="Y143" i="44"/>
  <c r="P143" i="44"/>
  <c r="N143" i="44"/>
  <c r="Z142" i="44"/>
  <c r="Y142" i="44"/>
  <c r="P142" i="44"/>
  <c r="N142" i="44"/>
  <c r="Z141" i="44"/>
  <c r="Y141" i="44"/>
  <c r="P141" i="44"/>
  <c r="N141" i="44"/>
  <c r="Z140" i="44"/>
  <c r="Y140" i="44"/>
  <c r="P140" i="44"/>
  <c r="N140" i="44"/>
  <c r="Z139" i="44"/>
  <c r="Y139" i="44"/>
  <c r="P139" i="44"/>
  <c r="N139" i="44"/>
  <c r="Z138" i="44"/>
  <c r="Y138" i="44"/>
  <c r="P138" i="44"/>
  <c r="N138" i="44"/>
  <c r="Z137" i="44"/>
  <c r="Y137" i="44"/>
  <c r="P137" i="44"/>
  <c r="N137" i="44"/>
  <c r="Z136" i="44"/>
  <c r="Y136" i="44"/>
  <c r="P136" i="44"/>
  <c r="N136" i="44"/>
  <c r="Z135" i="44"/>
  <c r="Y135" i="44"/>
  <c r="P135" i="44"/>
  <c r="N135" i="44"/>
  <c r="Z134" i="44"/>
  <c r="Y134" i="44"/>
  <c r="P134" i="44"/>
  <c r="N134" i="44"/>
  <c r="Z133" i="44"/>
  <c r="Y133" i="44"/>
  <c r="P133" i="44"/>
  <c r="N133" i="44"/>
  <c r="Z132" i="44"/>
  <c r="Y132" i="44"/>
  <c r="P132" i="44"/>
  <c r="N132" i="44"/>
  <c r="Z131" i="44"/>
  <c r="Y131" i="44"/>
  <c r="P131" i="44"/>
  <c r="N131" i="44"/>
  <c r="Z130" i="44"/>
  <c r="Y130" i="44"/>
  <c r="P130" i="44"/>
  <c r="N130" i="44"/>
  <c r="Z129" i="44"/>
  <c r="Y129" i="44"/>
  <c r="P129" i="44"/>
  <c r="N129" i="44"/>
  <c r="Z128" i="44"/>
  <c r="Y128" i="44"/>
  <c r="P128" i="44"/>
  <c r="N128" i="44"/>
  <c r="Z127" i="44"/>
  <c r="Y127" i="44"/>
  <c r="P127" i="44"/>
  <c r="N127" i="44"/>
  <c r="Z126" i="44"/>
  <c r="Y126" i="44"/>
  <c r="P126" i="44"/>
  <c r="N126" i="44"/>
  <c r="Z125" i="44"/>
  <c r="Y125" i="44"/>
  <c r="P125" i="44"/>
  <c r="N125" i="44"/>
  <c r="Z124" i="44"/>
  <c r="Y124" i="44"/>
  <c r="P124" i="44"/>
  <c r="N124" i="44"/>
  <c r="Z123" i="44"/>
  <c r="Y123" i="44"/>
  <c r="P123" i="44"/>
  <c r="N123" i="44"/>
  <c r="Z122" i="44"/>
  <c r="Y122" i="44"/>
  <c r="P122" i="44"/>
  <c r="N122" i="44"/>
  <c r="Z121" i="44"/>
  <c r="Y121" i="44"/>
  <c r="P121" i="44"/>
  <c r="N121" i="44"/>
  <c r="Z120" i="44"/>
  <c r="Y120" i="44"/>
  <c r="P120" i="44"/>
  <c r="N120" i="44"/>
  <c r="Z119" i="44"/>
  <c r="Y119" i="44"/>
  <c r="P119" i="44"/>
  <c r="N119" i="44"/>
  <c r="Z118" i="44"/>
  <c r="Y118" i="44"/>
  <c r="P118" i="44"/>
  <c r="N118" i="44"/>
  <c r="Z117" i="44"/>
  <c r="Y117" i="44"/>
  <c r="P117" i="44"/>
  <c r="N117" i="44"/>
  <c r="Z116" i="44"/>
  <c r="Y116" i="44"/>
  <c r="P116" i="44"/>
  <c r="N116" i="44"/>
  <c r="Z115" i="44"/>
  <c r="Y115" i="44"/>
  <c r="P115" i="44"/>
  <c r="N115" i="44"/>
  <c r="Z114" i="44"/>
  <c r="Y114" i="44"/>
  <c r="P114" i="44"/>
  <c r="N114" i="44"/>
  <c r="Z113" i="44"/>
  <c r="Y113" i="44"/>
  <c r="P113" i="44"/>
  <c r="N113" i="44"/>
  <c r="Z112" i="44"/>
  <c r="Y112" i="44"/>
  <c r="P112" i="44"/>
  <c r="N112" i="44"/>
  <c r="Z111" i="44"/>
  <c r="Y111" i="44"/>
  <c r="P111" i="44"/>
  <c r="N111" i="44"/>
  <c r="Z110" i="44"/>
  <c r="Y110" i="44"/>
  <c r="P110" i="44"/>
  <c r="N110" i="44"/>
  <c r="Z109" i="44"/>
  <c r="Y109" i="44"/>
  <c r="P109" i="44"/>
  <c r="N109" i="44"/>
  <c r="Z108" i="44"/>
  <c r="Y108" i="44"/>
  <c r="P108" i="44"/>
  <c r="N108" i="44"/>
  <c r="Z107" i="44"/>
  <c r="Y107" i="44"/>
  <c r="P107" i="44"/>
  <c r="N107" i="44"/>
  <c r="Z106" i="44"/>
  <c r="Y106" i="44"/>
  <c r="P106" i="44"/>
  <c r="N106" i="44"/>
  <c r="Z105" i="44"/>
  <c r="Y105" i="44"/>
  <c r="P105" i="44"/>
  <c r="N105" i="44"/>
  <c r="Z104" i="44"/>
  <c r="Y104" i="44"/>
  <c r="P104" i="44"/>
  <c r="N104" i="44"/>
  <c r="Z103" i="44"/>
  <c r="Y103" i="44"/>
  <c r="P103" i="44"/>
  <c r="N103" i="44"/>
  <c r="Z102" i="44"/>
  <c r="Y102" i="44"/>
  <c r="P102" i="44"/>
  <c r="N102" i="44"/>
  <c r="Z101" i="44"/>
  <c r="Y101" i="44"/>
  <c r="P101" i="44"/>
  <c r="N101" i="44"/>
  <c r="Z100" i="44"/>
  <c r="R31" i="44" s="1"/>
  <c r="Y100" i="44"/>
  <c r="R30" i="44" s="1"/>
  <c r="P100" i="44"/>
  <c r="N100" i="44"/>
  <c r="Z99" i="44"/>
  <c r="Y99" i="44"/>
  <c r="P99" i="44"/>
  <c r="N99" i="44"/>
  <c r="Z98" i="44"/>
  <c r="Y98" i="44"/>
  <c r="P98" i="44"/>
  <c r="N98" i="44"/>
  <c r="Z97" i="44"/>
  <c r="Y97" i="44"/>
  <c r="P97" i="44"/>
  <c r="N97" i="44"/>
  <c r="Z192" i="43"/>
  <c r="Y192" i="43"/>
  <c r="P192" i="43"/>
  <c r="N192" i="43"/>
  <c r="Z191" i="43"/>
  <c r="Y191" i="43"/>
  <c r="P191" i="43"/>
  <c r="N191" i="43"/>
  <c r="Z190" i="43"/>
  <c r="Y190" i="43"/>
  <c r="P190" i="43"/>
  <c r="N190" i="43"/>
  <c r="Z189" i="43"/>
  <c r="Y189" i="43"/>
  <c r="P189" i="43"/>
  <c r="N189" i="43"/>
  <c r="Z188" i="43"/>
  <c r="Y188" i="43"/>
  <c r="P188" i="43"/>
  <c r="N188" i="43"/>
  <c r="Z187" i="43"/>
  <c r="Y187" i="43"/>
  <c r="P187" i="43"/>
  <c r="N187" i="43"/>
  <c r="Z186" i="43"/>
  <c r="Y186" i="43"/>
  <c r="P186" i="43"/>
  <c r="N186" i="43"/>
  <c r="Z185" i="43"/>
  <c r="Y185" i="43"/>
  <c r="P185" i="43"/>
  <c r="N185" i="43"/>
  <c r="Z184" i="43"/>
  <c r="Y184" i="43"/>
  <c r="P184" i="43"/>
  <c r="N184" i="43"/>
  <c r="Z183" i="43"/>
  <c r="Y183" i="43"/>
  <c r="P183" i="43"/>
  <c r="N183" i="43"/>
  <c r="Z182" i="43"/>
  <c r="Y182" i="43"/>
  <c r="P182" i="43"/>
  <c r="N182" i="43"/>
  <c r="Z181" i="43"/>
  <c r="Y181" i="43"/>
  <c r="P181" i="43"/>
  <c r="N181" i="43"/>
  <c r="Z180" i="43"/>
  <c r="Y180" i="43"/>
  <c r="P180" i="43"/>
  <c r="N180" i="43"/>
  <c r="Z179" i="43"/>
  <c r="Y179" i="43"/>
  <c r="P179" i="43"/>
  <c r="N179" i="43"/>
  <c r="Z178" i="43"/>
  <c r="Y178" i="43"/>
  <c r="P178" i="43"/>
  <c r="N178" i="43"/>
  <c r="Z177" i="43"/>
  <c r="Y177" i="43"/>
  <c r="P177" i="43"/>
  <c r="N177" i="43"/>
  <c r="Z176" i="43"/>
  <c r="Y176" i="43"/>
  <c r="P176" i="43"/>
  <c r="N176" i="43"/>
  <c r="Z175" i="43"/>
  <c r="Y175" i="43"/>
  <c r="P175" i="43"/>
  <c r="N175" i="43"/>
  <c r="Z174" i="43"/>
  <c r="Y174" i="43"/>
  <c r="P174" i="43"/>
  <c r="N174" i="43"/>
  <c r="Z173" i="43"/>
  <c r="Y173" i="43"/>
  <c r="P173" i="43"/>
  <c r="N173" i="43"/>
  <c r="Z172" i="43"/>
  <c r="Y172" i="43"/>
  <c r="P172" i="43"/>
  <c r="N172" i="43"/>
  <c r="Z171" i="43"/>
  <c r="Y171" i="43"/>
  <c r="P171" i="43"/>
  <c r="N171" i="43"/>
  <c r="Z170" i="43"/>
  <c r="Y170" i="43"/>
  <c r="P170" i="43"/>
  <c r="N170" i="43"/>
  <c r="Z169" i="43"/>
  <c r="Y169" i="43"/>
  <c r="P169" i="43"/>
  <c r="N169" i="43"/>
  <c r="Z168" i="43"/>
  <c r="Y168" i="43"/>
  <c r="P168" i="43"/>
  <c r="N168" i="43"/>
  <c r="Z167" i="43"/>
  <c r="Y167" i="43"/>
  <c r="P167" i="43"/>
  <c r="N167" i="43"/>
  <c r="Z166" i="43"/>
  <c r="Y166" i="43"/>
  <c r="P166" i="43"/>
  <c r="N166" i="43"/>
  <c r="Z165" i="43"/>
  <c r="Y165" i="43"/>
  <c r="P165" i="43"/>
  <c r="N165" i="43"/>
  <c r="Z164" i="43"/>
  <c r="Y164" i="43"/>
  <c r="P164" i="43"/>
  <c r="N164" i="43"/>
  <c r="Z163" i="43"/>
  <c r="Y163" i="43"/>
  <c r="P163" i="43"/>
  <c r="N163" i="43"/>
  <c r="Z162" i="43"/>
  <c r="Y162" i="43"/>
  <c r="P162" i="43"/>
  <c r="N162" i="43"/>
  <c r="Z161" i="43"/>
  <c r="Y161" i="43"/>
  <c r="P161" i="43"/>
  <c r="N161" i="43"/>
  <c r="Z160" i="43"/>
  <c r="Y160" i="43"/>
  <c r="P160" i="43"/>
  <c r="N160" i="43"/>
  <c r="Z159" i="43"/>
  <c r="Y159" i="43"/>
  <c r="P159" i="43"/>
  <c r="N159" i="43"/>
  <c r="Z158" i="43"/>
  <c r="Y158" i="43"/>
  <c r="P158" i="43"/>
  <c r="N158" i="43"/>
  <c r="Z157" i="43"/>
  <c r="Y157" i="43"/>
  <c r="P157" i="43"/>
  <c r="N157" i="43"/>
  <c r="Z156" i="43"/>
  <c r="Y156" i="43"/>
  <c r="P156" i="43"/>
  <c r="N156" i="43"/>
  <c r="Z155" i="43"/>
  <c r="Y155" i="43"/>
  <c r="P155" i="43"/>
  <c r="N155" i="43"/>
  <c r="Z154" i="43"/>
  <c r="Y154" i="43"/>
  <c r="P154" i="43"/>
  <c r="N154" i="43"/>
  <c r="Z153" i="43"/>
  <c r="Y153" i="43"/>
  <c r="P153" i="43"/>
  <c r="N153" i="43"/>
  <c r="Z152" i="43"/>
  <c r="Y152" i="43"/>
  <c r="P152" i="43"/>
  <c r="N152" i="43"/>
  <c r="Z151" i="43"/>
  <c r="Y151" i="43"/>
  <c r="P151" i="43"/>
  <c r="N151" i="43"/>
  <c r="Z150" i="43"/>
  <c r="Y150" i="43"/>
  <c r="P150" i="43"/>
  <c r="N150" i="43"/>
  <c r="Z149" i="43"/>
  <c r="Y149" i="43"/>
  <c r="P149" i="43"/>
  <c r="N149" i="43"/>
  <c r="Z148" i="43"/>
  <c r="Y148" i="43"/>
  <c r="P148" i="43"/>
  <c r="N148" i="43"/>
  <c r="Z147" i="43"/>
  <c r="Y147" i="43"/>
  <c r="P147" i="43"/>
  <c r="N147" i="43"/>
  <c r="Z146" i="43"/>
  <c r="Y146" i="43"/>
  <c r="P146" i="43"/>
  <c r="N146" i="43"/>
  <c r="Z145" i="43"/>
  <c r="Y145" i="43"/>
  <c r="P145" i="43"/>
  <c r="N145" i="43"/>
  <c r="Z144" i="43"/>
  <c r="Y144" i="43"/>
  <c r="P144" i="43"/>
  <c r="N144" i="43"/>
  <c r="Z143" i="43"/>
  <c r="Y143" i="43"/>
  <c r="P143" i="43"/>
  <c r="N143" i="43"/>
  <c r="Z142" i="43"/>
  <c r="Y142" i="43"/>
  <c r="P142" i="43"/>
  <c r="N142" i="43"/>
  <c r="Z141" i="43"/>
  <c r="Y141" i="43"/>
  <c r="P141" i="43"/>
  <c r="N141" i="43"/>
  <c r="Z140" i="43"/>
  <c r="Y140" i="43"/>
  <c r="P140" i="43"/>
  <c r="N140" i="43"/>
  <c r="Z139" i="43"/>
  <c r="Y139" i="43"/>
  <c r="P139" i="43"/>
  <c r="N139" i="43"/>
  <c r="Z138" i="43"/>
  <c r="Y138" i="43"/>
  <c r="P138" i="43"/>
  <c r="N138" i="43"/>
  <c r="Z137" i="43"/>
  <c r="Y137" i="43"/>
  <c r="P137" i="43"/>
  <c r="N137" i="43"/>
  <c r="Z136" i="43"/>
  <c r="Y136" i="43"/>
  <c r="P136" i="43"/>
  <c r="N136" i="43"/>
  <c r="Z135" i="43"/>
  <c r="Y135" i="43"/>
  <c r="P135" i="43"/>
  <c r="N135" i="43"/>
  <c r="Z134" i="43"/>
  <c r="Y134" i="43"/>
  <c r="P134" i="43"/>
  <c r="N134" i="43"/>
  <c r="Z133" i="43"/>
  <c r="Y133" i="43"/>
  <c r="P133" i="43"/>
  <c r="N133" i="43"/>
  <c r="Z132" i="43"/>
  <c r="Y132" i="43"/>
  <c r="P132" i="43"/>
  <c r="N132" i="43"/>
  <c r="Z131" i="43"/>
  <c r="Y131" i="43"/>
  <c r="P131" i="43"/>
  <c r="N131" i="43"/>
  <c r="Z130" i="43"/>
  <c r="Y130" i="43"/>
  <c r="P130" i="43"/>
  <c r="N130" i="43"/>
  <c r="Z129" i="43"/>
  <c r="Y129" i="43"/>
  <c r="P129" i="43"/>
  <c r="N129" i="43"/>
  <c r="Z128" i="43"/>
  <c r="Y128" i="43"/>
  <c r="P128" i="43"/>
  <c r="N128" i="43"/>
  <c r="Z127" i="43"/>
  <c r="Y127" i="43"/>
  <c r="P127" i="43"/>
  <c r="N127" i="43"/>
  <c r="Z126" i="43"/>
  <c r="Y126" i="43"/>
  <c r="P126" i="43"/>
  <c r="N126" i="43"/>
  <c r="Z125" i="43"/>
  <c r="Y125" i="43"/>
  <c r="P125" i="43"/>
  <c r="N125" i="43"/>
  <c r="Z124" i="43"/>
  <c r="Y124" i="43"/>
  <c r="P124" i="43"/>
  <c r="N124" i="43"/>
  <c r="Z123" i="43"/>
  <c r="Y123" i="43"/>
  <c r="P123" i="43"/>
  <c r="N123" i="43"/>
  <c r="Z122" i="43"/>
  <c r="Y122" i="43"/>
  <c r="P122" i="43"/>
  <c r="N122" i="43"/>
  <c r="Z121" i="43"/>
  <c r="Y121" i="43"/>
  <c r="P121" i="43"/>
  <c r="N121" i="43"/>
  <c r="Z120" i="43"/>
  <c r="Y120" i="43"/>
  <c r="P120" i="43"/>
  <c r="N120" i="43"/>
  <c r="Z119" i="43"/>
  <c r="Y119" i="43"/>
  <c r="P119" i="43"/>
  <c r="N119" i="43"/>
  <c r="Z118" i="43"/>
  <c r="Y118" i="43"/>
  <c r="P118" i="43"/>
  <c r="N118" i="43"/>
  <c r="Z117" i="43"/>
  <c r="Y117" i="43"/>
  <c r="P117" i="43"/>
  <c r="N117" i="43"/>
  <c r="Z116" i="43"/>
  <c r="Y116" i="43"/>
  <c r="P116" i="43"/>
  <c r="N116" i="43"/>
  <c r="Z115" i="43"/>
  <c r="Y115" i="43"/>
  <c r="P115" i="43"/>
  <c r="N115" i="43"/>
  <c r="Z114" i="43"/>
  <c r="Y114" i="43"/>
  <c r="P114" i="43"/>
  <c r="N114" i="43"/>
  <c r="Z113" i="43"/>
  <c r="Y113" i="43"/>
  <c r="P113" i="43"/>
  <c r="N113" i="43"/>
  <c r="Z112" i="43"/>
  <c r="Y112" i="43"/>
  <c r="P112" i="43"/>
  <c r="N112" i="43"/>
  <c r="Z111" i="43"/>
  <c r="Y111" i="43"/>
  <c r="P111" i="43"/>
  <c r="N111" i="43"/>
  <c r="Z110" i="43"/>
  <c r="Y110" i="43"/>
  <c r="P110" i="43"/>
  <c r="N110" i="43"/>
  <c r="Z109" i="43"/>
  <c r="Y109" i="43"/>
  <c r="P109" i="43"/>
  <c r="N109" i="43"/>
  <c r="Z108" i="43"/>
  <c r="Y108" i="43"/>
  <c r="P108" i="43"/>
  <c r="N108" i="43"/>
  <c r="Z107" i="43"/>
  <c r="Y107" i="43"/>
  <c r="P107" i="43"/>
  <c r="N107" i="43"/>
  <c r="Z106" i="43"/>
  <c r="Y106" i="43"/>
  <c r="P106" i="43"/>
  <c r="N106" i="43"/>
  <c r="Z105" i="43"/>
  <c r="Y105" i="43"/>
  <c r="P105" i="43"/>
  <c r="N105" i="43"/>
  <c r="Z104" i="43"/>
  <c r="Y104" i="43"/>
  <c r="P104" i="43"/>
  <c r="N104" i="43"/>
  <c r="Z103" i="43"/>
  <c r="Y103" i="43"/>
  <c r="P103" i="43"/>
  <c r="N103" i="43"/>
  <c r="Z102" i="43"/>
  <c r="Y102" i="43"/>
  <c r="P102" i="43"/>
  <c r="N102" i="43"/>
  <c r="Z101" i="43"/>
  <c r="Y101" i="43"/>
  <c r="P101" i="43"/>
  <c r="N101" i="43"/>
  <c r="Z100" i="43"/>
  <c r="R31" i="43" s="1"/>
  <c r="Y100" i="43"/>
  <c r="R30" i="43" s="1"/>
  <c r="P100" i="43"/>
  <c r="N100" i="43"/>
  <c r="Z99" i="43"/>
  <c r="Y99" i="43"/>
  <c r="P99" i="43"/>
  <c r="N99" i="43"/>
  <c r="Z98" i="43"/>
  <c r="Y98" i="43"/>
  <c r="P98" i="43"/>
  <c r="N98" i="43"/>
  <c r="Z97" i="43"/>
  <c r="Y97" i="43"/>
  <c r="P97" i="43"/>
  <c r="N97" i="43"/>
  <c r="Z192" i="41"/>
  <c r="Y192" i="41"/>
  <c r="P192" i="41"/>
  <c r="N192" i="41"/>
  <c r="Z191" i="41"/>
  <c r="Y191" i="41"/>
  <c r="P191" i="41"/>
  <c r="N191" i="41"/>
  <c r="Z190" i="41"/>
  <c r="Y190" i="41"/>
  <c r="P190" i="41"/>
  <c r="N190" i="41"/>
  <c r="Z189" i="41"/>
  <c r="Y189" i="41"/>
  <c r="P189" i="41"/>
  <c r="N189" i="41"/>
  <c r="Z188" i="41"/>
  <c r="Y188" i="41"/>
  <c r="P188" i="41"/>
  <c r="N188" i="41"/>
  <c r="Z187" i="41"/>
  <c r="Y187" i="41"/>
  <c r="P187" i="41"/>
  <c r="N187" i="41"/>
  <c r="Z186" i="41"/>
  <c r="Y186" i="41"/>
  <c r="P186" i="41"/>
  <c r="N186" i="41"/>
  <c r="Z185" i="41"/>
  <c r="Y185" i="41"/>
  <c r="P185" i="41"/>
  <c r="N185" i="41"/>
  <c r="Z184" i="41"/>
  <c r="Y184" i="41"/>
  <c r="P184" i="41"/>
  <c r="N184" i="41"/>
  <c r="Z183" i="41"/>
  <c r="Y183" i="41"/>
  <c r="P183" i="41"/>
  <c r="N183" i="41"/>
  <c r="Z182" i="41"/>
  <c r="Y182" i="41"/>
  <c r="P182" i="41"/>
  <c r="N182" i="41"/>
  <c r="Z181" i="41"/>
  <c r="Y181" i="41"/>
  <c r="P181" i="41"/>
  <c r="N181" i="41"/>
  <c r="Z180" i="41"/>
  <c r="Y180" i="41"/>
  <c r="P180" i="41"/>
  <c r="N180" i="41"/>
  <c r="Z179" i="41"/>
  <c r="Y179" i="41"/>
  <c r="P179" i="41"/>
  <c r="N179" i="41"/>
  <c r="Z178" i="41"/>
  <c r="Y178" i="41"/>
  <c r="P178" i="41"/>
  <c r="N178" i="41"/>
  <c r="Z177" i="41"/>
  <c r="Y177" i="41"/>
  <c r="P177" i="41"/>
  <c r="N177" i="41"/>
  <c r="Z176" i="41"/>
  <c r="Y176" i="41"/>
  <c r="P176" i="41"/>
  <c r="N176" i="41"/>
  <c r="Z175" i="41"/>
  <c r="Y175" i="41"/>
  <c r="P175" i="41"/>
  <c r="N175" i="41"/>
  <c r="Z174" i="41"/>
  <c r="Y174" i="41"/>
  <c r="P174" i="41"/>
  <c r="N174" i="41"/>
  <c r="Z173" i="41"/>
  <c r="Y173" i="41"/>
  <c r="P173" i="41"/>
  <c r="N173" i="41"/>
  <c r="Z172" i="41"/>
  <c r="Y172" i="41"/>
  <c r="P172" i="41"/>
  <c r="N172" i="41"/>
  <c r="Z171" i="41"/>
  <c r="Y171" i="41"/>
  <c r="P171" i="41"/>
  <c r="N171" i="41"/>
  <c r="Z170" i="41"/>
  <c r="Y170" i="41"/>
  <c r="P170" i="41"/>
  <c r="N170" i="41"/>
  <c r="Z169" i="41"/>
  <c r="Y169" i="41"/>
  <c r="P169" i="41"/>
  <c r="N169" i="41"/>
  <c r="Z168" i="41"/>
  <c r="Y168" i="41"/>
  <c r="P168" i="41"/>
  <c r="N168" i="41"/>
  <c r="Z167" i="41"/>
  <c r="Y167" i="41"/>
  <c r="P167" i="41"/>
  <c r="N167" i="41"/>
  <c r="Z166" i="41"/>
  <c r="Y166" i="41"/>
  <c r="P166" i="41"/>
  <c r="N166" i="41"/>
  <c r="Z165" i="41"/>
  <c r="Y165" i="41"/>
  <c r="P165" i="41"/>
  <c r="N165" i="41"/>
  <c r="Z164" i="41"/>
  <c r="Y164" i="41"/>
  <c r="P164" i="41"/>
  <c r="N164" i="41"/>
  <c r="Z163" i="41"/>
  <c r="Y163" i="41"/>
  <c r="P163" i="41"/>
  <c r="N163" i="41"/>
  <c r="Z162" i="41"/>
  <c r="Y162" i="41"/>
  <c r="P162" i="41"/>
  <c r="N162" i="41"/>
  <c r="Z161" i="41"/>
  <c r="Y161" i="41"/>
  <c r="P161" i="41"/>
  <c r="N161" i="41"/>
  <c r="Z160" i="41"/>
  <c r="Y160" i="41"/>
  <c r="P160" i="41"/>
  <c r="N160" i="41"/>
  <c r="Z159" i="41"/>
  <c r="Y159" i="41"/>
  <c r="P159" i="41"/>
  <c r="N159" i="41"/>
  <c r="Z158" i="41"/>
  <c r="Y158" i="41"/>
  <c r="P158" i="41"/>
  <c r="N158" i="41"/>
  <c r="Z157" i="41"/>
  <c r="Y157" i="41"/>
  <c r="P157" i="41"/>
  <c r="N157" i="41"/>
  <c r="Z156" i="41"/>
  <c r="Y156" i="41"/>
  <c r="P156" i="41"/>
  <c r="N156" i="41"/>
  <c r="Z155" i="41"/>
  <c r="Y155" i="41"/>
  <c r="P155" i="41"/>
  <c r="N155" i="41"/>
  <c r="Z154" i="41"/>
  <c r="Y154" i="41"/>
  <c r="P154" i="41"/>
  <c r="N154" i="41"/>
  <c r="Z153" i="41"/>
  <c r="Y153" i="41"/>
  <c r="P153" i="41"/>
  <c r="N153" i="41"/>
  <c r="Z152" i="41"/>
  <c r="Y152" i="41"/>
  <c r="P152" i="41"/>
  <c r="N152" i="41"/>
  <c r="Z151" i="41"/>
  <c r="Y151" i="41"/>
  <c r="P151" i="41"/>
  <c r="N151" i="41"/>
  <c r="Z150" i="41"/>
  <c r="Y150" i="41"/>
  <c r="P150" i="41"/>
  <c r="N150" i="41"/>
  <c r="Z149" i="41"/>
  <c r="Y149" i="41"/>
  <c r="P149" i="41"/>
  <c r="N149" i="41"/>
  <c r="Z148" i="41"/>
  <c r="Y148" i="41"/>
  <c r="P148" i="41"/>
  <c r="N148" i="41"/>
  <c r="Z147" i="41"/>
  <c r="Y147" i="41"/>
  <c r="P147" i="41"/>
  <c r="N147" i="41"/>
  <c r="Z146" i="41"/>
  <c r="Y146" i="41"/>
  <c r="P146" i="41"/>
  <c r="N146" i="41"/>
  <c r="Z145" i="41"/>
  <c r="Y145" i="41"/>
  <c r="P145" i="41"/>
  <c r="N145" i="41"/>
  <c r="Z144" i="41"/>
  <c r="Y144" i="41"/>
  <c r="P144" i="41"/>
  <c r="N144" i="41"/>
  <c r="Z143" i="41"/>
  <c r="Y143" i="41"/>
  <c r="P143" i="41"/>
  <c r="N143" i="41"/>
  <c r="Z142" i="41"/>
  <c r="Y142" i="41"/>
  <c r="P142" i="41"/>
  <c r="N142" i="41"/>
  <c r="Z141" i="41"/>
  <c r="Y141" i="41"/>
  <c r="P141" i="41"/>
  <c r="N141" i="41"/>
  <c r="Z140" i="41"/>
  <c r="Y140" i="41"/>
  <c r="P140" i="41"/>
  <c r="N140" i="41"/>
  <c r="Z139" i="41"/>
  <c r="Y139" i="41"/>
  <c r="P139" i="41"/>
  <c r="N139" i="41"/>
  <c r="Z138" i="41"/>
  <c r="Y138" i="41"/>
  <c r="P138" i="41"/>
  <c r="N138" i="41"/>
  <c r="Z137" i="41"/>
  <c r="Y137" i="41"/>
  <c r="P137" i="41"/>
  <c r="N137" i="41"/>
  <c r="Z136" i="41"/>
  <c r="Y136" i="41"/>
  <c r="P136" i="41"/>
  <c r="N136" i="41"/>
  <c r="Z135" i="41"/>
  <c r="Y135" i="41"/>
  <c r="P135" i="41"/>
  <c r="N135" i="41"/>
  <c r="Z134" i="41"/>
  <c r="Y134" i="41"/>
  <c r="P134" i="41"/>
  <c r="N134" i="41"/>
  <c r="Z133" i="41"/>
  <c r="Y133" i="41"/>
  <c r="P133" i="41"/>
  <c r="N133" i="41"/>
  <c r="Z132" i="41"/>
  <c r="Y132" i="41"/>
  <c r="P132" i="41"/>
  <c r="N132" i="41"/>
  <c r="Z131" i="41"/>
  <c r="Y131" i="41"/>
  <c r="P131" i="41"/>
  <c r="N131" i="41"/>
  <c r="Z130" i="41"/>
  <c r="Y130" i="41"/>
  <c r="P130" i="41"/>
  <c r="N130" i="41"/>
  <c r="Z129" i="41"/>
  <c r="Y129" i="41"/>
  <c r="P129" i="41"/>
  <c r="N129" i="41"/>
  <c r="Z128" i="41"/>
  <c r="Y128" i="41"/>
  <c r="P128" i="41"/>
  <c r="N128" i="41"/>
  <c r="Z127" i="41"/>
  <c r="Y127" i="41"/>
  <c r="P127" i="41"/>
  <c r="N127" i="41"/>
  <c r="Z126" i="41"/>
  <c r="Y126" i="41"/>
  <c r="P126" i="41"/>
  <c r="N126" i="41"/>
  <c r="Z125" i="41"/>
  <c r="Y125" i="41"/>
  <c r="P125" i="41"/>
  <c r="N125" i="41"/>
  <c r="Z124" i="41"/>
  <c r="Y124" i="41"/>
  <c r="P124" i="41"/>
  <c r="N124" i="41"/>
  <c r="Z123" i="41"/>
  <c r="Y123" i="41"/>
  <c r="P123" i="41"/>
  <c r="N123" i="41"/>
  <c r="Z122" i="41"/>
  <c r="Y122" i="41"/>
  <c r="P122" i="41"/>
  <c r="N122" i="41"/>
  <c r="Z121" i="41"/>
  <c r="Y121" i="41"/>
  <c r="P121" i="41"/>
  <c r="N121" i="41"/>
  <c r="Z120" i="41"/>
  <c r="Y120" i="41"/>
  <c r="P120" i="41"/>
  <c r="N120" i="41"/>
  <c r="Z119" i="41"/>
  <c r="Y119" i="41"/>
  <c r="P119" i="41"/>
  <c r="N119" i="41"/>
  <c r="Z118" i="41"/>
  <c r="Y118" i="41"/>
  <c r="P118" i="41"/>
  <c r="N118" i="41"/>
  <c r="Z117" i="41"/>
  <c r="Y117" i="41"/>
  <c r="P117" i="41"/>
  <c r="N117" i="41"/>
  <c r="Z116" i="41"/>
  <c r="Y116" i="41"/>
  <c r="P116" i="41"/>
  <c r="N116" i="41"/>
  <c r="Z115" i="41"/>
  <c r="Y115" i="41"/>
  <c r="P115" i="41"/>
  <c r="N115" i="41"/>
  <c r="Z114" i="41"/>
  <c r="Y114" i="41"/>
  <c r="P114" i="41"/>
  <c r="N114" i="41"/>
  <c r="Z113" i="41"/>
  <c r="Y113" i="41"/>
  <c r="P113" i="41"/>
  <c r="N113" i="41"/>
  <c r="Z112" i="41"/>
  <c r="Y112" i="41"/>
  <c r="P112" i="41"/>
  <c r="N112" i="41"/>
  <c r="Z111" i="41"/>
  <c r="Y111" i="41"/>
  <c r="P111" i="41"/>
  <c r="N111" i="41"/>
  <c r="Z110" i="41"/>
  <c r="Y110" i="41"/>
  <c r="P110" i="41"/>
  <c r="N110" i="41"/>
  <c r="Z109" i="41"/>
  <c r="Y109" i="41"/>
  <c r="P109" i="41"/>
  <c r="N109" i="41"/>
  <c r="Z108" i="41"/>
  <c r="Y108" i="41"/>
  <c r="P108" i="41"/>
  <c r="N108" i="41"/>
  <c r="Z107" i="41"/>
  <c r="Y107" i="41"/>
  <c r="P107" i="41"/>
  <c r="N107" i="41"/>
  <c r="Z106" i="41"/>
  <c r="Y106" i="41"/>
  <c r="P106" i="41"/>
  <c r="N106" i="41"/>
  <c r="Z105" i="41"/>
  <c r="Y105" i="41"/>
  <c r="P105" i="41"/>
  <c r="N105" i="41"/>
  <c r="Z104" i="41"/>
  <c r="Y104" i="41"/>
  <c r="P104" i="41"/>
  <c r="N104" i="41"/>
  <c r="Z103" i="41"/>
  <c r="Y103" i="41"/>
  <c r="P103" i="41"/>
  <c r="N103" i="41"/>
  <c r="Z102" i="41"/>
  <c r="Y102" i="41"/>
  <c r="P102" i="41"/>
  <c r="N102" i="41"/>
  <c r="Z101" i="41"/>
  <c r="Y101" i="41"/>
  <c r="P101" i="41"/>
  <c r="N101" i="41"/>
  <c r="Z100" i="41"/>
  <c r="R31" i="41" s="1"/>
  <c r="Y100" i="41"/>
  <c r="R30" i="41" s="1"/>
  <c r="P100" i="41"/>
  <c r="N100" i="41"/>
  <c r="Z99" i="41"/>
  <c r="Y99" i="41"/>
  <c r="P99" i="41"/>
  <c r="N99" i="41"/>
  <c r="Z98" i="41"/>
  <c r="Y98" i="41"/>
  <c r="P98" i="41"/>
  <c r="N98" i="41"/>
  <c r="Z97" i="41"/>
  <c r="Y97" i="41"/>
  <c r="P97" i="41"/>
  <c r="N97" i="41"/>
  <c r="Z192" i="40"/>
  <c r="Y192" i="40"/>
  <c r="P192" i="40"/>
  <c r="N192" i="40"/>
  <c r="Z191" i="40"/>
  <c r="Y191" i="40"/>
  <c r="P191" i="40"/>
  <c r="N191" i="40"/>
  <c r="Z190" i="40"/>
  <c r="Y190" i="40"/>
  <c r="P190" i="40"/>
  <c r="N190" i="40"/>
  <c r="Z189" i="40"/>
  <c r="Y189" i="40"/>
  <c r="P189" i="40"/>
  <c r="N189" i="40"/>
  <c r="Z188" i="40"/>
  <c r="Y188" i="40"/>
  <c r="P188" i="40"/>
  <c r="N188" i="40"/>
  <c r="Z187" i="40"/>
  <c r="Y187" i="40"/>
  <c r="P187" i="40"/>
  <c r="N187" i="40"/>
  <c r="Z186" i="40"/>
  <c r="Y186" i="40"/>
  <c r="P186" i="40"/>
  <c r="N186" i="40"/>
  <c r="Z185" i="40"/>
  <c r="Y185" i="40"/>
  <c r="P185" i="40"/>
  <c r="N185" i="40"/>
  <c r="Z184" i="40"/>
  <c r="Y184" i="40"/>
  <c r="P184" i="40"/>
  <c r="N184" i="40"/>
  <c r="Z183" i="40"/>
  <c r="Y183" i="40"/>
  <c r="P183" i="40"/>
  <c r="N183" i="40"/>
  <c r="Z182" i="40"/>
  <c r="Y182" i="40"/>
  <c r="P182" i="40"/>
  <c r="N182" i="40"/>
  <c r="Z181" i="40"/>
  <c r="Y181" i="40"/>
  <c r="P181" i="40"/>
  <c r="N181" i="40"/>
  <c r="Z180" i="40"/>
  <c r="Y180" i="40"/>
  <c r="P180" i="40"/>
  <c r="N180" i="40"/>
  <c r="Z179" i="40"/>
  <c r="Y179" i="40"/>
  <c r="P179" i="40"/>
  <c r="N179" i="40"/>
  <c r="Z178" i="40"/>
  <c r="Y178" i="40"/>
  <c r="P178" i="40"/>
  <c r="N178" i="40"/>
  <c r="Z177" i="40"/>
  <c r="Y177" i="40"/>
  <c r="P177" i="40"/>
  <c r="N177" i="40"/>
  <c r="Z176" i="40"/>
  <c r="Y176" i="40"/>
  <c r="P176" i="40"/>
  <c r="N176" i="40"/>
  <c r="Z175" i="40"/>
  <c r="Y175" i="40"/>
  <c r="P175" i="40"/>
  <c r="N175" i="40"/>
  <c r="Z174" i="40"/>
  <c r="Y174" i="40"/>
  <c r="P174" i="40"/>
  <c r="N174" i="40"/>
  <c r="Z173" i="40"/>
  <c r="Y173" i="40"/>
  <c r="P173" i="40"/>
  <c r="N173" i="40"/>
  <c r="Z172" i="40"/>
  <c r="Y172" i="40"/>
  <c r="P172" i="40"/>
  <c r="N172" i="40"/>
  <c r="Z171" i="40"/>
  <c r="Y171" i="40"/>
  <c r="P171" i="40"/>
  <c r="N171" i="40"/>
  <c r="Z170" i="40"/>
  <c r="Y170" i="40"/>
  <c r="P170" i="40"/>
  <c r="N170" i="40"/>
  <c r="Z169" i="40"/>
  <c r="Y169" i="40"/>
  <c r="P169" i="40"/>
  <c r="N169" i="40"/>
  <c r="Z168" i="40"/>
  <c r="Y168" i="40"/>
  <c r="P168" i="40"/>
  <c r="N168" i="40"/>
  <c r="Z167" i="40"/>
  <c r="Y167" i="40"/>
  <c r="P167" i="40"/>
  <c r="N167" i="40"/>
  <c r="Z166" i="40"/>
  <c r="Y166" i="40"/>
  <c r="P166" i="40"/>
  <c r="N166" i="40"/>
  <c r="Z165" i="40"/>
  <c r="Y165" i="40"/>
  <c r="P165" i="40"/>
  <c r="N165" i="40"/>
  <c r="Z164" i="40"/>
  <c r="Y164" i="40"/>
  <c r="P164" i="40"/>
  <c r="N164" i="40"/>
  <c r="Z163" i="40"/>
  <c r="Y163" i="40"/>
  <c r="P163" i="40"/>
  <c r="N163" i="40"/>
  <c r="Z162" i="40"/>
  <c r="Y162" i="40"/>
  <c r="P162" i="40"/>
  <c r="N162" i="40"/>
  <c r="Z161" i="40"/>
  <c r="Y161" i="40"/>
  <c r="P161" i="40"/>
  <c r="N161" i="40"/>
  <c r="Z160" i="40"/>
  <c r="Y160" i="40"/>
  <c r="P160" i="40"/>
  <c r="N160" i="40"/>
  <c r="Z159" i="40"/>
  <c r="Y159" i="40"/>
  <c r="P159" i="40"/>
  <c r="N159" i="40"/>
  <c r="Z158" i="40"/>
  <c r="Y158" i="40"/>
  <c r="P158" i="40"/>
  <c r="N158" i="40"/>
  <c r="Z157" i="40"/>
  <c r="Y157" i="40"/>
  <c r="P157" i="40"/>
  <c r="N157" i="40"/>
  <c r="Z156" i="40"/>
  <c r="Y156" i="40"/>
  <c r="P156" i="40"/>
  <c r="N156" i="40"/>
  <c r="Z155" i="40"/>
  <c r="Y155" i="40"/>
  <c r="P155" i="40"/>
  <c r="N155" i="40"/>
  <c r="Z154" i="40"/>
  <c r="Y154" i="40"/>
  <c r="P154" i="40"/>
  <c r="N154" i="40"/>
  <c r="Z153" i="40"/>
  <c r="Y153" i="40"/>
  <c r="P153" i="40"/>
  <c r="N153" i="40"/>
  <c r="Z152" i="40"/>
  <c r="Y152" i="40"/>
  <c r="P152" i="40"/>
  <c r="N152" i="40"/>
  <c r="Z151" i="40"/>
  <c r="Y151" i="40"/>
  <c r="P151" i="40"/>
  <c r="N151" i="40"/>
  <c r="Z150" i="40"/>
  <c r="Y150" i="40"/>
  <c r="P150" i="40"/>
  <c r="N150" i="40"/>
  <c r="Z149" i="40"/>
  <c r="Y149" i="40"/>
  <c r="P149" i="40"/>
  <c r="N149" i="40"/>
  <c r="Z148" i="40"/>
  <c r="Y148" i="40"/>
  <c r="P148" i="40"/>
  <c r="N148" i="40"/>
  <c r="Z147" i="40"/>
  <c r="Y147" i="40"/>
  <c r="P147" i="40"/>
  <c r="N147" i="40"/>
  <c r="Z146" i="40"/>
  <c r="Y146" i="40"/>
  <c r="P146" i="40"/>
  <c r="N146" i="40"/>
  <c r="Z145" i="40"/>
  <c r="Y145" i="40"/>
  <c r="P145" i="40"/>
  <c r="N145" i="40"/>
  <c r="Z144" i="40"/>
  <c r="Y144" i="40"/>
  <c r="P144" i="40"/>
  <c r="N144" i="40"/>
  <c r="Z143" i="40"/>
  <c r="Y143" i="40"/>
  <c r="P143" i="40"/>
  <c r="N143" i="40"/>
  <c r="Z142" i="40"/>
  <c r="Y142" i="40"/>
  <c r="P142" i="40"/>
  <c r="N142" i="40"/>
  <c r="Z141" i="40"/>
  <c r="Y141" i="40"/>
  <c r="P141" i="40"/>
  <c r="N141" i="40"/>
  <c r="Z140" i="40"/>
  <c r="Y140" i="40"/>
  <c r="P140" i="40"/>
  <c r="N140" i="40"/>
  <c r="Z139" i="40"/>
  <c r="Y139" i="40"/>
  <c r="P139" i="40"/>
  <c r="N139" i="40"/>
  <c r="Z138" i="40"/>
  <c r="Y138" i="40"/>
  <c r="P138" i="40"/>
  <c r="N138" i="40"/>
  <c r="Z137" i="40"/>
  <c r="Y137" i="40"/>
  <c r="P137" i="40"/>
  <c r="N137" i="40"/>
  <c r="Z136" i="40"/>
  <c r="Y136" i="40"/>
  <c r="P136" i="40"/>
  <c r="N136" i="40"/>
  <c r="Z135" i="40"/>
  <c r="Y135" i="40"/>
  <c r="P135" i="40"/>
  <c r="N135" i="40"/>
  <c r="Z134" i="40"/>
  <c r="Y134" i="40"/>
  <c r="P134" i="40"/>
  <c r="N134" i="40"/>
  <c r="Z133" i="40"/>
  <c r="Y133" i="40"/>
  <c r="P133" i="40"/>
  <c r="N133" i="40"/>
  <c r="Z132" i="40"/>
  <c r="Y132" i="40"/>
  <c r="P132" i="40"/>
  <c r="N132" i="40"/>
  <c r="Z131" i="40"/>
  <c r="Y131" i="40"/>
  <c r="P131" i="40"/>
  <c r="N131" i="40"/>
  <c r="Z130" i="40"/>
  <c r="Y130" i="40"/>
  <c r="P130" i="40"/>
  <c r="N130" i="40"/>
  <c r="Z129" i="40"/>
  <c r="Y129" i="40"/>
  <c r="P129" i="40"/>
  <c r="N129" i="40"/>
  <c r="Z128" i="40"/>
  <c r="Y128" i="40"/>
  <c r="P128" i="40"/>
  <c r="N128" i="40"/>
  <c r="Z127" i="40"/>
  <c r="Y127" i="40"/>
  <c r="P127" i="40"/>
  <c r="N127" i="40"/>
  <c r="Z126" i="40"/>
  <c r="Y126" i="40"/>
  <c r="P126" i="40"/>
  <c r="N126" i="40"/>
  <c r="Z125" i="40"/>
  <c r="Y125" i="40"/>
  <c r="P125" i="40"/>
  <c r="N125" i="40"/>
  <c r="Z124" i="40"/>
  <c r="Y124" i="40"/>
  <c r="P124" i="40"/>
  <c r="N124" i="40"/>
  <c r="Z123" i="40"/>
  <c r="Y123" i="40"/>
  <c r="P123" i="40"/>
  <c r="N123" i="40"/>
  <c r="Z122" i="40"/>
  <c r="Y122" i="40"/>
  <c r="P122" i="40"/>
  <c r="N122" i="40"/>
  <c r="Z121" i="40"/>
  <c r="Y121" i="40"/>
  <c r="P121" i="40"/>
  <c r="N121" i="40"/>
  <c r="Z120" i="40"/>
  <c r="Y120" i="40"/>
  <c r="P120" i="40"/>
  <c r="N120" i="40"/>
  <c r="Z119" i="40"/>
  <c r="Y119" i="40"/>
  <c r="P119" i="40"/>
  <c r="N119" i="40"/>
  <c r="Z118" i="40"/>
  <c r="Y118" i="40"/>
  <c r="P118" i="40"/>
  <c r="N118" i="40"/>
  <c r="Z117" i="40"/>
  <c r="Y117" i="40"/>
  <c r="P117" i="40"/>
  <c r="N117" i="40"/>
  <c r="Z116" i="40"/>
  <c r="Y116" i="40"/>
  <c r="P116" i="40"/>
  <c r="N116" i="40"/>
  <c r="Z115" i="40"/>
  <c r="Y115" i="40"/>
  <c r="P115" i="40"/>
  <c r="N115" i="40"/>
  <c r="Z114" i="40"/>
  <c r="Y114" i="40"/>
  <c r="P114" i="40"/>
  <c r="N114" i="40"/>
  <c r="Z113" i="40"/>
  <c r="Y113" i="40"/>
  <c r="P113" i="40"/>
  <c r="N113" i="40"/>
  <c r="Z112" i="40"/>
  <c r="Y112" i="40"/>
  <c r="P112" i="40"/>
  <c r="N112" i="40"/>
  <c r="Z111" i="40"/>
  <c r="Y111" i="40"/>
  <c r="P111" i="40"/>
  <c r="N111" i="40"/>
  <c r="Z110" i="40"/>
  <c r="Y110" i="40"/>
  <c r="P110" i="40"/>
  <c r="N110" i="40"/>
  <c r="Z109" i="40"/>
  <c r="Y109" i="40"/>
  <c r="P109" i="40"/>
  <c r="N109" i="40"/>
  <c r="Z108" i="40"/>
  <c r="Y108" i="40"/>
  <c r="P108" i="40"/>
  <c r="N108" i="40"/>
  <c r="Z107" i="40"/>
  <c r="Y107" i="40"/>
  <c r="P107" i="40"/>
  <c r="N107" i="40"/>
  <c r="Z106" i="40"/>
  <c r="Y106" i="40"/>
  <c r="P106" i="40"/>
  <c r="N106" i="40"/>
  <c r="Z105" i="40"/>
  <c r="Y105" i="40"/>
  <c r="P105" i="40"/>
  <c r="N105" i="40"/>
  <c r="Z104" i="40"/>
  <c r="Y104" i="40"/>
  <c r="P104" i="40"/>
  <c r="N104" i="40"/>
  <c r="Z103" i="40"/>
  <c r="Y103" i="40"/>
  <c r="P103" i="40"/>
  <c r="N103" i="40"/>
  <c r="Z102" i="40"/>
  <c r="Y102" i="40"/>
  <c r="P102" i="40"/>
  <c r="N102" i="40"/>
  <c r="Z101" i="40"/>
  <c r="Y101" i="40"/>
  <c r="P101" i="40"/>
  <c r="N101" i="40"/>
  <c r="Z100" i="40"/>
  <c r="R31" i="40" s="1"/>
  <c r="Y100" i="40"/>
  <c r="R30" i="40" s="1"/>
  <c r="P100" i="40"/>
  <c r="N100" i="40"/>
  <c r="Z99" i="40"/>
  <c r="Y99" i="40"/>
  <c r="P99" i="40"/>
  <c r="N99" i="40"/>
  <c r="Z98" i="40"/>
  <c r="Y98" i="40"/>
  <c r="P98" i="40"/>
  <c r="N98" i="40"/>
  <c r="Z97" i="40"/>
  <c r="Y97" i="40"/>
  <c r="P97" i="40"/>
  <c r="N97" i="40"/>
  <c r="Z192" i="39"/>
  <c r="Y192" i="39"/>
  <c r="P192" i="39"/>
  <c r="N192" i="39"/>
  <c r="Z191" i="39"/>
  <c r="Y191" i="39"/>
  <c r="P191" i="39"/>
  <c r="N191" i="39"/>
  <c r="Z190" i="39"/>
  <c r="Y190" i="39"/>
  <c r="P190" i="39"/>
  <c r="N190" i="39"/>
  <c r="Z189" i="39"/>
  <c r="Y189" i="39"/>
  <c r="P189" i="39"/>
  <c r="N189" i="39"/>
  <c r="Z188" i="39"/>
  <c r="Y188" i="39"/>
  <c r="P188" i="39"/>
  <c r="N188" i="39"/>
  <c r="Z187" i="39"/>
  <c r="Y187" i="39"/>
  <c r="P187" i="39"/>
  <c r="N187" i="39"/>
  <c r="Z186" i="39"/>
  <c r="Y186" i="39"/>
  <c r="P186" i="39"/>
  <c r="N186" i="39"/>
  <c r="Z185" i="39"/>
  <c r="Y185" i="39"/>
  <c r="P185" i="39"/>
  <c r="N185" i="39"/>
  <c r="Z184" i="39"/>
  <c r="Y184" i="39"/>
  <c r="P184" i="39"/>
  <c r="N184" i="39"/>
  <c r="Z183" i="39"/>
  <c r="Y183" i="39"/>
  <c r="P183" i="39"/>
  <c r="N183" i="39"/>
  <c r="Z182" i="39"/>
  <c r="Y182" i="39"/>
  <c r="P182" i="39"/>
  <c r="N182" i="39"/>
  <c r="Z181" i="39"/>
  <c r="Y181" i="39"/>
  <c r="P181" i="39"/>
  <c r="N181" i="39"/>
  <c r="Z180" i="39"/>
  <c r="Y180" i="39"/>
  <c r="P180" i="39"/>
  <c r="N180" i="39"/>
  <c r="Z179" i="39"/>
  <c r="Y179" i="39"/>
  <c r="P179" i="39"/>
  <c r="N179" i="39"/>
  <c r="Z178" i="39"/>
  <c r="Y178" i="39"/>
  <c r="P178" i="39"/>
  <c r="N178" i="39"/>
  <c r="Z177" i="39"/>
  <c r="Y177" i="39"/>
  <c r="P177" i="39"/>
  <c r="N177" i="39"/>
  <c r="Z176" i="39"/>
  <c r="Y176" i="39"/>
  <c r="P176" i="39"/>
  <c r="N176" i="39"/>
  <c r="Z175" i="39"/>
  <c r="Y175" i="39"/>
  <c r="P175" i="39"/>
  <c r="N175" i="39"/>
  <c r="Z174" i="39"/>
  <c r="Y174" i="39"/>
  <c r="P174" i="39"/>
  <c r="N174" i="39"/>
  <c r="Z173" i="39"/>
  <c r="Y173" i="39"/>
  <c r="P173" i="39"/>
  <c r="N173" i="39"/>
  <c r="Z172" i="39"/>
  <c r="Y172" i="39"/>
  <c r="P172" i="39"/>
  <c r="N172" i="39"/>
  <c r="Z171" i="39"/>
  <c r="Y171" i="39"/>
  <c r="P171" i="39"/>
  <c r="N171" i="39"/>
  <c r="Z170" i="39"/>
  <c r="Y170" i="39"/>
  <c r="P170" i="39"/>
  <c r="N170" i="39"/>
  <c r="Z169" i="39"/>
  <c r="Y169" i="39"/>
  <c r="P169" i="39"/>
  <c r="N169" i="39"/>
  <c r="Z168" i="39"/>
  <c r="Y168" i="39"/>
  <c r="P168" i="39"/>
  <c r="N168" i="39"/>
  <c r="Z167" i="39"/>
  <c r="Y167" i="39"/>
  <c r="P167" i="39"/>
  <c r="N167" i="39"/>
  <c r="Z166" i="39"/>
  <c r="Y166" i="39"/>
  <c r="P166" i="39"/>
  <c r="N166" i="39"/>
  <c r="Z165" i="39"/>
  <c r="Y165" i="39"/>
  <c r="P165" i="39"/>
  <c r="N165" i="39"/>
  <c r="Z164" i="39"/>
  <c r="Y164" i="39"/>
  <c r="P164" i="39"/>
  <c r="N164" i="39"/>
  <c r="Z163" i="39"/>
  <c r="Y163" i="39"/>
  <c r="P163" i="39"/>
  <c r="N163" i="39"/>
  <c r="Z162" i="39"/>
  <c r="Y162" i="39"/>
  <c r="P162" i="39"/>
  <c r="N162" i="39"/>
  <c r="Z161" i="39"/>
  <c r="Y161" i="39"/>
  <c r="P161" i="39"/>
  <c r="N161" i="39"/>
  <c r="Z160" i="39"/>
  <c r="Y160" i="39"/>
  <c r="P160" i="39"/>
  <c r="N160" i="39"/>
  <c r="Z159" i="39"/>
  <c r="Y159" i="39"/>
  <c r="P159" i="39"/>
  <c r="N159" i="39"/>
  <c r="Z158" i="39"/>
  <c r="Y158" i="39"/>
  <c r="P158" i="39"/>
  <c r="N158" i="39"/>
  <c r="Z157" i="39"/>
  <c r="Y157" i="39"/>
  <c r="P157" i="39"/>
  <c r="N157" i="39"/>
  <c r="Z156" i="39"/>
  <c r="Y156" i="39"/>
  <c r="P156" i="39"/>
  <c r="N156" i="39"/>
  <c r="Z155" i="39"/>
  <c r="Y155" i="39"/>
  <c r="P155" i="39"/>
  <c r="N155" i="39"/>
  <c r="Z154" i="39"/>
  <c r="Y154" i="39"/>
  <c r="P154" i="39"/>
  <c r="N154" i="39"/>
  <c r="Z153" i="39"/>
  <c r="Y153" i="39"/>
  <c r="P153" i="39"/>
  <c r="N153" i="39"/>
  <c r="Z152" i="39"/>
  <c r="Y152" i="39"/>
  <c r="P152" i="39"/>
  <c r="N152" i="39"/>
  <c r="Z151" i="39"/>
  <c r="Y151" i="39"/>
  <c r="P151" i="39"/>
  <c r="N151" i="39"/>
  <c r="Z150" i="39"/>
  <c r="Y150" i="39"/>
  <c r="P150" i="39"/>
  <c r="N150" i="39"/>
  <c r="Z149" i="39"/>
  <c r="Y149" i="39"/>
  <c r="P149" i="39"/>
  <c r="N149" i="39"/>
  <c r="Z148" i="39"/>
  <c r="Y148" i="39"/>
  <c r="P148" i="39"/>
  <c r="N148" i="39"/>
  <c r="Z147" i="39"/>
  <c r="Y147" i="39"/>
  <c r="P147" i="39"/>
  <c r="N147" i="39"/>
  <c r="Z146" i="39"/>
  <c r="Y146" i="39"/>
  <c r="P146" i="39"/>
  <c r="N146" i="39"/>
  <c r="Z145" i="39"/>
  <c r="Y145" i="39"/>
  <c r="P145" i="39"/>
  <c r="N145" i="39"/>
  <c r="Z144" i="39"/>
  <c r="Y144" i="39"/>
  <c r="P144" i="39"/>
  <c r="N144" i="39"/>
  <c r="Z143" i="39"/>
  <c r="Y143" i="39"/>
  <c r="P143" i="39"/>
  <c r="N143" i="39"/>
  <c r="Z142" i="39"/>
  <c r="Y142" i="39"/>
  <c r="P142" i="39"/>
  <c r="N142" i="39"/>
  <c r="Z141" i="39"/>
  <c r="Y141" i="39"/>
  <c r="P141" i="39"/>
  <c r="N141" i="39"/>
  <c r="Z140" i="39"/>
  <c r="Y140" i="39"/>
  <c r="P140" i="39"/>
  <c r="N140" i="39"/>
  <c r="Z139" i="39"/>
  <c r="Y139" i="39"/>
  <c r="P139" i="39"/>
  <c r="N139" i="39"/>
  <c r="Z138" i="39"/>
  <c r="Y138" i="39"/>
  <c r="P138" i="39"/>
  <c r="N138" i="39"/>
  <c r="Z137" i="39"/>
  <c r="Y137" i="39"/>
  <c r="P137" i="39"/>
  <c r="N137" i="39"/>
  <c r="Z136" i="39"/>
  <c r="Y136" i="39"/>
  <c r="P136" i="39"/>
  <c r="N136" i="39"/>
  <c r="Z135" i="39"/>
  <c r="Y135" i="39"/>
  <c r="P135" i="39"/>
  <c r="N135" i="39"/>
  <c r="Z134" i="39"/>
  <c r="Y134" i="39"/>
  <c r="P134" i="39"/>
  <c r="N134" i="39"/>
  <c r="Z133" i="39"/>
  <c r="Y133" i="39"/>
  <c r="P133" i="39"/>
  <c r="N133" i="39"/>
  <c r="Z132" i="39"/>
  <c r="Y132" i="39"/>
  <c r="P132" i="39"/>
  <c r="N132" i="39"/>
  <c r="Z131" i="39"/>
  <c r="Y131" i="39"/>
  <c r="P131" i="39"/>
  <c r="N131" i="39"/>
  <c r="Z130" i="39"/>
  <c r="Y130" i="39"/>
  <c r="P130" i="39"/>
  <c r="N130" i="39"/>
  <c r="Z129" i="39"/>
  <c r="Y129" i="39"/>
  <c r="P129" i="39"/>
  <c r="N129" i="39"/>
  <c r="Z128" i="39"/>
  <c r="Y128" i="39"/>
  <c r="P128" i="39"/>
  <c r="N128" i="39"/>
  <c r="Z127" i="39"/>
  <c r="Y127" i="39"/>
  <c r="P127" i="39"/>
  <c r="N127" i="39"/>
  <c r="Z126" i="39"/>
  <c r="Y126" i="39"/>
  <c r="P126" i="39"/>
  <c r="N126" i="39"/>
  <c r="Z125" i="39"/>
  <c r="Y125" i="39"/>
  <c r="P125" i="39"/>
  <c r="N125" i="39"/>
  <c r="Z124" i="39"/>
  <c r="Y124" i="39"/>
  <c r="P124" i="39"/>
  <c r="N124" i="39"/>
  <c r="Z123" i="39"/>
  <c r="Y123" i="39"/>
  <c r="P123" i="39"/>
  <c r="N123" i="39"/>
  <c r="Z122" i="39"/>
  <c r="Y122" i="39"/>
  <c r="P122" i="39"/>
  <c r="N122" i="39"/>
  <c r="Z121" i="39"/>
  <c r="Y121" i="39"/>
  <c r="P121" i="39"/>
  <c r="N121" i="39"/>
  <c r="Z120" i="39"/>
  <c r="Y120" i="39"/>
  <c r="P120" i="39"/>
  <c r="N120" i="39"/>
  <c r="Z119" i="39"/>
  <c r="Y119" i="39"/>
  <c r="P119" i="39"/>
  <c r="N119" i="39"/>
  <c r="Z118" i="39"/>
  <c r="Y118" i="39"/>
  <c r="P118" i="39"/>
  <c r="N118" i="39"/>
  <c r="Z117" i="39"/>
  <c r="Y117" i="39"/>
  <c r="P117" i="39"/>
  <c r="N117" i="39"/>
  <c r="Z116" i="39"/>
  <c r="Y116" i="39"/>
  <c r="P116" i="39"/>
  <c r="N116" i="39"/>
  <c r="Z115" i="39"/>
  <c r="Y115" i="39"/>
  <c r="P115" i="39"/>
  <c r="N115" i="39"/>
  <c r="Z114" i="39"/>
  <c r="Y114" i="39"/>
  <c r="P114" i="39"/>
  <c r="N114" i="39"/>
  <c r="Z113" i="39"/>
  <c r="Y113" i="39"/>
  <c r="P113" i="39"/>
  <c r="N113" i="39"/>
  <c r="Z112" i="39"/>
  <c r="Y112" i="39"/>
  <c r="P112" i="39"/>
  <c r="N112" i="39"/>
  <c r="Z111" i="39"/>
  <c r="Y111" i="39"/>
  <c r="P111" i="39"/>
  <c r="N111" i="39"/>
  <c r="Z110" i="39"/>
  <c r="Y110" i="39"/>
  <c r="P110" i="39"/>
  <c r="N110" i="39"/>
  <c r="Z109" i="39"/>
  <c r="Y109" i="39"/>
  <c r="P109" i="39"/>
  <c r="N109" i="39"/>
  <c r="Z108" i="39"/>
  <c r="Y108" i="39"/>
  <c r="P108" i="39"/>
  <c r="N108" i="39"/>
  <c r="Z107" i="39"/>
  <c r="Y107" i="39"/>
  <c r="P107" i="39"/>
  <c r="N107" i="39"/>
  <c r="Z106" i="39"/>
  <c r="Y106" i="39"/>
  <c r="P106" i="39"/>
  <c r="N106" i="39"/>
  <c r="Z105" i="39"/>
  <c r="Y105" i="39"/>
  <c r="P105" i="39"/>
  <c r="N105" i="39"/>
  <c r="Z104" i="39"/>
  <c r="Y104" i="39"/>
  <c r="P104" i="39"/>
  <c r="N104" i="39"/>
  <c r="Z103" i="39"/>
  <c r="Y103" i="39"/>
  <c r="P103" i="39"/>
  <c r="N103" i="39"/>
  <c r="Z102" i="39"/>
  <c r="Y102" i="39"/>
  <c r="P102" i="39"/>
  <c r="N102" i="39"/>
  <c r="Z101" i="39"/>
  <c r="Y101" i="39"/>
  <c r="P101" i="39"/>
  <c r="N101" i="39"/>
  <c r="Z100" i="39"/>
  <c r="R31" i="39" s="1"/>
  <c r="Y100" i="39"/>
  <c r="R30" i="39" s="1"/>
  <c r="P100" i="39"/>
  <c r="N100" i="39"/>
  <c r="Z99" i="39"/>
  <c r="Y99" i="39"/>
  <c r="P99" i="39"/>
  <c r="N99" i="39"/>
  <c r="Z98" i="39"/>
  <c r="Y98" i="39"/>
  <c r="P98" i="39"/>
  <c r="N98" i="39"/>
  <c r="Z97" i="39"/>
  <c r="Y97" i="39"/>
  <c r="P97" i="39"/>
  <c r="N97" i="39"/>
  <c r="Z192" i="38"/>
  <c r="Y192" i="38"/>
  <c r="P192" i="38"/>
  <c r="N192" i="38"/>
  <c r="Z191" i="38"/>
  <c r="Y191" i="38"/>
  <c r="P191" i="38"/>
  <c r="N191" i="38"/>
  <c r="Z190" i="38"/>
  <c r="Y190" i="38"/>
  <c r="P190" i="38"/>
  <c r="N190" i="38"/>
  <c r="Z189" i="38"/>
  <c r="Y189" i="38"/>
  <c r="P189" i="38"/>
  <c r="N189" i="38"/>
  <c r="Z188" i="38"/>
  <c r="Y188" i="38"/>
  <c r="P188" i="38"/>
  <c r="N188" i="38"/>
  <c r="Z187" i="38"/>
  <c r="Y187" i="38"/>
  <c r="P187" i="38"/>
  <c r="N187" i="38"/>
  <c r="Z186" i="38"/>
  <c r="Y186" i="38"/>
  <c r="P186" i="38"/>
  <c r="N186" i="38"/>
  <c r="Z185" i="38"/>
  <c r="Y185" i="38"/>
  <c r="P185" i="38"/>
  <c r="N185" i="38"/>
  <c r="Z184" i="38"/>
  <c r="Y184" i="38"/>
  <c r="P184" i="38"/>
  <c r="N184" i="38"/>
  <c r="Z183" i="38"/>
  <c r="Y183" i="38"/>
  <c r="P183" i="38"/>
  <c r="N183" i="38"/>
  <c r="Z182" i="38"/>
  <c r="Y182" i="38"/>
  <c r="P182" i="38"/>
  <c r="N182" i="38"/>
  <c r="Z181" i="38"/>
  <c r="Y181" i="38"/>
  <c r="P181" i="38"/>
  <c r="N181" i="38"/>
  <c r="Z180" i="38"/>
  <c r="Y180" i="38"/>
  <c r="P180" i="38"/>
  <c r="N180" i="38"/>
  <c r="Z179" i="38"/>
  <c r="Y179" i="38"/>
  <c r="P179" i="38"/>
  <c r="N179" i="38"/>
  <c r="Z178" i="38"/>
  <c r="Y178" i="38"/>
  <c r="P178" i="38"/>
  <c r="N178" i="38"/>
  <c r="Z177" i="38"/>
  <c r="Y177" i="38"/>
  <c r="P177" i="38"/>
  <c r="N177" i="38"/>
  <c r="Z176" i="38"/>
  <c r="Y176" i="38"/>
  <c r="P176" i="38"/>
  <c r="N176" i="38"/>
  <c r="Z175" i="38"/>
  <c r="Y175" i="38"/>
  <c r="P175" i="38"/>
  <c r="N175" i="38"/>
  <c r="Z174" i="38"/>
  <c r="Y174" i="38"/>
  <c r="P174" i="38"/>
  <c r="N174" i="38"/>
  <c r="Z173" i="38"/>
  <c r="Y173" i="38"/>
  <c r="P173" i="38"/>
  <c r="N173" i="38"/>
  <c r="Z172" i="38"/>
  <c r="Y172" i="38"/>
  <c r="P172" i="38"/>
  <c r="N172" i="38"/>
  <c r="Z171" i="38"/>
  <c r="Y171" i="38"/>
  <c r="P171" i="38"/>
  <c r="N171" i="38"/>
  <c r="Z170" i="38"/>
  <c r="Y170" i="38"/>
  <c r="P170" i="38"/>
  <c r="N170" i="38"/>
  <c r="Z169" i="38"/>
  <c r="Y169" i="38"/>
  <c r="P169" i="38"/>
  <c r="N169" i="38"/>
  <c r="Z168" i="38"/>
  <c r="Y168" i="38"/>
  <c r="P168" i="38"/>
  <c r="N168" i="38"/>
  <c r="Z167" i="38"/>
  <c r="Y167" i="38"/>
  <c r="P167" i="38"/>
  <c r="N167" i="38"/>
  <c r="Z166" i="38"/>
  <c r="Y166" i="38"/>
  <c r="P166" i="38"/>
  <c r="N166" i="38"/>
  <c r="Z165" i="38"/>
  <c r="Y165" i="38"/>
  <c r="P165" i="38"/>
  <c r="N165" i="38"/>
  <c r="Z164" i="38"/>
  <c r="Y164" i="38"/>
  <c r="P164" i="38"/>
  <c r="N164" i="38"/>
  <c r="Z163" i="38"/>
  <c r="Y163" i="38"/>
  <c r="P163" i="38"/>
  <c r="N163" i="38"/>
  <c r="Z162" i="38"/>
  <c r="Y162" i="38"/>
  <c r="P162" i="38"/>
  <c r="N162" i="38"/>
  <c r="Z161" i="38"/>
  <c r="Y161" i="38"/>
  <c r="P161" i="38"/>
  <c r="N161" i="38"/>
  <c r="Z160" i="38"/>
  <c r="Y160" i="38"/>
  <c r="P160" i="38"/>
  <c r="N160" i="38"/>
  <c r="Z159" i="38"/>
  <c r="Y159" i="38"/>
  <c r="P159" i="38"/>
  <c r="N159" i="38"/>
  <c r="Z158" i="38"/>
  <c r="Y158" i="38"/>
  <c r="P158" i="38"/>
  <c r="N158" i="38"/>
  <c r="Z157" i="38"/>
  <c r="Y157" i="38"/>
  <c r="P157" i="38"/>
  <c r="N157" i="38"/>
  <c r="Z156" i="38"/>
  <c r="Y156" i="38"/>
  <c r="P156" i="38"/>
  <c r="N156" i="38"/>
  <c r="Z155" i="38"/>
  <c r="Y155" i="38"/>
  <c r="P155" i="38"/>
  <c r="N155" i="38"/>
  <c r="Z154" i="38"/>
  <c r="Y154" i="38"/>
  <c r="P154" i="38"/>
  <c r="N154" i="38"/>
  <c r="Z153" i="38"/>
  <c r="Y153" i="38"/>
  <c r="P153" i="38"/>
  <c r="N153" i="38"/>
  <c r="Z152" i="38"/>
  <c r="Y152" i="38"/>
  <c r="P152" i="38"/>
  <c r="N152" i="38"/>
  <c r="Z151" i="38"/>
  <c r="Y151" i="38"/>
  <c r="P151" i="38"/>
  <c r="N151" i="38"/>
  <c r="Z150" i="38"/>
  <c r="Y150" i="38"/>
  <c r="P150" i="38"/>
  <c r="N150" i="38"/>
  <c r="Z149" i="38"/>
  <c r="Y149" i="38"/>
  <c r="P149" i="38"/>
  <c r="N149" i="38"/>
  <c r="Z148" i="38"/>
  <c r="Y148" i="38"/>
  <c r="P148" i="38"/>
  <c r="N148" i="38"/>
  <c r="Z147" i="38"/>
  <c r="Y147" i="38"/>
  <c r="P147" i="38"/>
  <c r="N147" i="38"/>
  <c r="Z146" i="38"/>
  <c r="Y146" i="38"/>
  <c r="P146" i="38"/>
  <c r="N146" i="38"/>
  <c r="Z145" i="38"/>
  <c r="Y145" i="38"/>
  <c r="P145" i="38"/>
  <c r="N145" i="38"/>
  <c r="Z144" i="38"/>
  <c r="Y144" i="38"/>
  <c r="P144" i="38"/>
  <c r="N144" i="38"/>
  <c r="Z143" i="38"/>
  <c r="Y143" i="38"/>
  <c r="P143" i="38"/>
  <c r="N143" i="38"/>
  <c r="Z142" i="38"/>
  <c r="Y142" i="38"/>
  <c r="P142" i="38"/>
  <c r="N142" i="38"/>
  <c r="Z141" i="38"/>
  <c r="Y141" i="38"/>
  <c r="P141" i="38"/>
  <c r="N141" i="38"/>
  <c r="Z140" i="38"/>
  <c r="Y140" i="38"/>
  <c r="P140" i="38"/>
  <c r="N140" i="38"/>
  <c r="Z139" i="38"/>
  <c r="Y139" i="38"/>
  <c r="P139" i="38"/>
  <c r="N139" i="38"/>
  <c r="Z138" i="38"/>
  <c r="Y138" i="38"/>
  <c r="P138" i="38"/>
  <c r="N138" i="38"/>
  <c r="Z137" i="38"/>
  <c r="Y137" i="38"/>
  <c r="P137" i="38"/>
  <c r="N137" i="38"/>
  <c r="Z136" i="38"/>
  <c r="Y136" i="38"/>
  <c r="P136" i="38"/>
  <c r="N136" i="38"/>
  <c r="Z135" i="38"/>
  <c r="Y135" i="38"/>
  <c r="P135" i="38"/>
  <c r="N135" i="38"/>
  <c r="Z134" i="38"/>
  <c r="Y134" i="38"/>
  <c r="P134" i="38"/>
  <c r="N134" i="38"/>
  <c r="Z133" i="38"/>
  <c r="Y133" i="38"/>
  <c r="P133" i="38"/>
  <c r="N133" i="38"/>
  <c r="Z132" i="38"/>
  <c r="Y132" i="38"/>
  <c r="P132" i="38"/>
  <c r="N132" i="38"/>
  <c r="Z131" i="38"/>
  <c r="Y131" i="38"/>
  <c r="P131" i="38"/>
  <c r="N131" i="38"/>
  <c r="Z130" i="38"/>
  <c r="Y130" i="38"/>
  <c r="P130" i="38"/>
  <c r="N130" i="38"/>
  <c r="Z129" i="38"/>
  <c r="Y129" i="38"/>
  <c r="P129" i="38"/>
  <c r="N129" i="38"/>
  <c r="Z128" i="38"/>
  <c r="Y128" i="38"/>
  <c r="P128" i="38"/>
  <c r="N128" i="38"/>
  <c r="Z127" i="38"/>
  <c r="Y127" i="38"/>
  <c r="P127" i="38"/>
  <c r="N127" i="38"/>
  <c r="Z126" i="38"/>
  <c r="Y126" i="38"/>
  <c r="P126" i="38"/>
  <c r="N126" i="38"/>
  <c r="Z125" i="38"/>
  <c r="Y125" i="38"/>
  <c r="P125" i="38"/>
  <c r="N125" i="38"/>
  <c r="Z124" i="38"/>
  <c r="Y124" i="38"/>
  <c r="P124" i="38"/>
  <c r="N124" i="38"/>
  <c r="Z123" i="38"/>
  <c r="Y123" i="38"/>
  <c r="P123" i="38"/>
  <c r="N123" i="38"/>
  <c r="Z122" i="38"/>
  <c r="Y122" i="38"/>
  <c r="P122" i="38"/>
  <c r="N122" i="38"/>
  <c r="Z121" i="38"/>
  <c r="Y121" i="38"/>
  <c r="P121" i="38"/>
  <c r="N121" i="38"/>
  <c r="Z120" i="38"/>
  <c r="Y120" i="38"/>
  <c r="P120" i="38"/>
  <c r="N120" i="38"/>
  <c r="Z119" i="38"/>
  <c r="Y119" i="38"/>
  <c r="P119" i="38"/>
  <c r="N119" i="38"/>
  <c r="Z118" i="38"/>
  <c r="Y118" i="38"/>
  <c r="P118" i="38"/>
  <c r="N118" i="38"/>
  <c r="Z117" i="38"/>
  <c r="Y117" i="38"/>
  <c r="P117" i="38"/>
  <c r="N117" i="38"/>
  <c r="Z116" i="38"/>
  <c r="Y116" i="38"/>
  <c r="P116" i="38"/>
  <c r="N116" i="38"/>
  <c r="Z115" i="38"/>
  <c r="Y115" i="38"/>
  <c r="P115" i="38"/>
  <c r="N115" i="38"/>
  <c r="Z114" i="38"/>
  <c r="Y114" i="38"/>
  <c r="P114" i="38"/>
  <c r="N114" i="38"/>
  <c r="Z113" i="38"/>
  <c r="Y113" i="38"/>
  <c r="P113" i="38"/>
  <c r="N113" i="38"/>
  <c r="Z112" i="38"/>
  <c r="Y112" i="38"/>
  <c r="P112" i="38"/>
  <c r="N112" i="38"/>
  <c r="Z111" i="38"/>
  <c r="Y111" i="38"/>
  <c r="P111" i="38"/>
  <c r="N111" i="38"/>
  <c r="Z110" i="38"/>
  <c r="Y110" i="38"/>
  <c r="P110" i="38"/>
  <c r="N110" i="38"/>
  <c r="Z109" i="38"/>
  <c r="Y109" i="38"/>
  <c r="P109" i="38"/>
  <c r="N109" i="38"/>
  <c r="Z108" i="38"/>
  <c r="Y108" i="38"/>
  <c r="P108" i="38"/>
  <c r="N108" i="38"/>
  <c r="Z107" i="38"/>
  <c r="Y107" i="38"/>
  <c r="P107" i="38"/>
  <c r="N107" i="38"/>
  <c r="Z106" i="38"/>
  <c r="Y106" i="38"/>
  <c r="P106" i="38"/>
  <c r="N106" i="38"/>
  <c r="Z105" i="38"/>
  <c r="Y105" i="38"/>
  <c r="P105" i="38"/>
  <c r="N105" i="38"/>
  <c r="Z104" i="38"/>
  <c r="Y104" i="38"/>
  <c r="P104" i="38"/>
  <c r="N104" i="38"/>
  <c r="Z103" i="38"/>
  <c r="Y103" i="38"/>
  <c r="P103" i="38"/>
  <c r="N103" i="38"/>
  <c r="Z102" i="38"/>
  <c r="Y102" i="38"/>
  <c r="P102" i="38"/>
  <c r="N102" i="38"/>
  <c r="Z101" i="38"/>
  <c r="Y101" i="38"/>
  <c r="P101" i="38"/>
  <c r="N101" i="38"/>
  <c r="Z100" i="38"/>
  <c r="R31" i="38" s="1"/>
  <c r="Y100" i="38"/>
  <c r="R30" i="38" s="1"/>
  <c r="P100" i="38"/>
  <c r="N100" i="38"/>
  <c r="Z99" i="38"/>
  <c r="Y99" i="38"/>
  <c r="P99" i="38"/>
  <c r="N99" i="38"/>
  <c r="Z98" i="38"/>
  <c r="Y98" i="38"/>
  <c r="P98" i="38"/>
  <c r="N98" i="38"/>
  <c r="Z97" i="38"/>
  <c r="Y97" i="38"/>
  <c r="P97" i="38"/>
  <c r="N97" i="38"/>
  <c r="Z192" i="37"/>
  <c r="Y192" i="37"/>
  <c r="P192" i="37"/>
  <c r="N192" i="37"/>
  <c r="Z191" i="37"/>
  <c r="Y191" i="37"/>
  <c r="P191" i="37"/>
  <c r="N191" i="37"/>
  <c r="Z190" i="37"/>
  <c r="Y190" i="37"/>
  <c r="P190" i="37"/>
  <c r="N190" i="37"/>
  <c r="Z189" i="37"/>
  <c r="Y189" i="37"/>
  <c r="P189" i="37"/>
  <c r="N189" i="37"/>
  <c r="Z188" i="37"/>
  <c r="Y188" i="37"/>
  <c r="P188" i="37"/>
  <c r="N188" i="37"/>
  <c r="Z187" i="37"/>
  <c r="Y187" i="37"/>
  <c r="P187" i="37"/>
  <c r="N187" i="37"/>
  <c r="Z186" i="37"/>
  <c r="Y186" i="37"/>
  <c r="P186" i="37"/>
  <c r="N186" i="37"/>
  <c r="Z185" i="37"/>
  <c r="Y185" i="37"/>
  <c r="P185" i="37"/>
  <c r="N185" i="37"/>
  <c r="Z184" i="37"/>
  <c r="Y184" i="37"/>
  <c r="P184" i="37"/>
  <c r="N184" i="37"/>
  <c r="Z183" i="37"/>
  <c r="Y183" i="37"/>
  <c r="P183" i="37"/>
  <c r="N183" i="37"/>
  <c r="Z182" i="37"/>
  <c r="Y182" i="37"/>
  <c r="P182" i="37"/>
  <c r="N182" i="37"/>
  <c r="Z181" i="37"/>
  <c r="Y181" i="37"/>
  <c r="P181" i="37"/>
  <c r="N181" i="37"/>
  <c r="Z180" i="37"/>
  <c r="Y180" i="37"/>
  <c r="P180" i="37"/>
  <c r="N180" i="37"/>
  <c r="Z179" i="37"/>
  <c r="Y179" i="37"/>
  <c r="P179" i="37"/>
  <c r="N179" i="37"/>
  <c r="Z178" i="37"/>
  <c r="Y178" i="37"/>
  <c r="P178" i="37"/>
  <c r="N178" i="37"/>
  <c r="Z177" i="37"/>
  <c r="Y177" i="37"/>
  <c r="P177" i="37"/>
  <c r="N177" i="37"/>
  <c r="Z176" i="37"/>
  <c r="Y176" i="37"/>
  <c r="P176" i="37"/>
  <c r="N176" i="37"/>
  <c r="Z175" i="37"/>
  <c r="Y175" i="37"/>
  <c r="P175" i="37"/>
  <c r="N175" i="37"/>
  <c r="Z174" i="37"/>
  <c r="Y174" i="37"/>
  <c r="P174" i="37"/>
  <c r="N174" i="37"/>
  <c r="Z173" i="37"/>
  <c r="Y173" i="37"/>
  <c r="P173" i="37"/>
  <c r="N173" i="37"/>
  <c r="Z172" i="37"/>
  <c r="Y172" i="37"/>
  <c r="P172" i="37"/>
  <c r="N172" i="37"/>
  <c r="Z171" i="37"/>
  <c r="Y171" i="37"/>
  <c r="P171" i="37"/>
  <c r="N171" i="37"/>
  <c r="Z170" i="37"/>
  <c r="Y170" i="37"/>
  <c r="P170" i="37"/>
  <c r="N170" i="37"/>
  <c r="Z169" i="37"/>
  <c r="Y169" i="37"/>
  <c r="P169" i="37"/>
  <c r="N169" i="37"/>
  <c r="Z168" i="37"/>
  <c r="Y168" i="37"/>
  <c r="P168" i="37"/>
  <c r="N168" i="37"/>
  <c r="Z167" i="37"/>
  <c r="Y167" i="37"/>
  <c r="P167" i="37"/>
  <c r="N167" i="37"/>
  <c r="Z166" i="37"/>
  <c r="Y166" i="37"/>
  <c r="P166" i="37"/>
  <c r="N166" i="37"/>
  <c r="Z165" i="37"/>
  <c r="Y165" i="37"/>
  <c r="P165" i="37"/>
  <c r="N165" i="37"/>
  <c r="Z164" i="37"/>
  <c r="Y164" i="37"/>
  <c r="P164" i="37"/>
  <c r="N164" i="37"/>
  <c r="Z163" i="37"/>
  <c r="Y163" i="37"/>
  <c r="P163" i="37"/>
  <c r="N163" i="37"/>
  <c r="Z162" i="37"/>
  <c r="Y162" i="37"/>
  <c r="P162" i="37"/>
  <c r="N162" i="37"/>
  <c r="Z161" i="37"/>
  <c r="Y161" i="37"/>
  <c r="P161" i="37"/>
  <c r="N161" i="37"/>
  <c r="Z160" i="37"/>
  <c r="Y160" i="37"/>
  <c r="P160" i="37"/>
  <c r="N160" i="37"/>
  <c r="Z159" i="37"/>
  <c r="Y159" i="37"/>
  <c r="P159" i="37"/>
  <c r="N159" i="37"/>
  <c r="Z158" i="37"/>
  <c r="Y158" i="37"/>
  <c r="P158" i="37"/>
  <c r="N158" i="37"/>
  <c r="Z157" i="37"/>
  <c r="Y157" i="37"/>
  <c r="P157" i="37"/>
  <c r="N157" i="37"/>
  <c r="Z156" i="37"/>
  <c r="Y156" i="37"/>
  <c r="P156" i="37"/>
  <c r="N156" i="37"/>
  <c r="Z155" i="37"/>
  <c r="Y155" i="37"/>
  <c r="P155" i="37"/>
  <c r="N155" i="37"/>
  <c r="Z154" i="37"/>
  <c r="Y154" i="37"/>
  <c r="P154" i="37"/>
  <c r="N154" i="37"/>
  <c r="Z153" i="37"/>
  <c r="Y153" i="37"/>
  <c r="P153" i="37"/>
  <c r="N153" i="37"/>
  <c r="Z152" i="37"/>
  <c r="Y152" i="37"/>
  <c r="P152" i="37"/>
  <c r="N152" i="37"/>
  <c r="Z151" i="37"/>
  <c r="Y151" i="37"/>
  <c r="P151" i="37"/>
  <c r="N151" i="37"/>
  <c r="Z150" i="37"/>
  <c r="Y150" i="37"/>
  <c r="P150" i="37"/>
  <c r="N150" i="37"/>
  <c r="Z149" i="37"/>
  <c r="Y149" i="37"/>
  <c r="P149" i="37"/>
  <c r="N149" i="37"/>
  <c r="Z148" i="37"/>
  <c r="Y148" i="37"/>
  <c r="P148" i="37"/>
  <c r="N148" i="37"/>
  <c r="Z147" i="37"/>
  <c r="Y147" i="37"/>
  <c r="P147" i="37"/>
  <c r="N147" i="37"/>
  <c r="Z146" i="37"/>
  <c r="Y146" i="37"/>
  <c r="P146" i="37"/>
  <c r="N146" i="37"/>
  <c r="Z145" i="37"/>
  <c r="Y145" i="37"/>
  <c r="P145" i="37"/>
  <c r="N145" i="37"/>
  <c r="Z144" i="37"/>
  <c r="Y144" i="37"/>
  <c r="P144" i="37"/>
  <c r="N144" i="37"/>
  <c r="Z143" i="37"/>
  <c r="Y143" i="37"/>
  <c r="P143" i="37"/>
  <c r="N143" i="37"/>
  <c r="Z142" i="37"/>
  <c r="Y142" i="37"/>
  <c r="P142" i="37"/>
  <c r="N142" i="37"/>
  <c r="Z141" i="37"/>
  <c r="Y141" i="37"/>
  <c r="P141" i="37"/>
  <c r="N141" i="37"/>
  <c r="Z140" i="37"/>
  <c r="Y140" i="37"/>
  <c r="P140" i="37"/>
  <c r="N140" i="37"/>
  <c r="Z139" i="37"/>
  <c r="Y139" i="37"/>
  <c r="P139" i="37"/>
  <c r="N139" i="37"/>
  <c r="Z138" i="37"/>
  <c r="Y138" i="37"/>
  <c r="P138" i="37"/>
  <c r="N138" i="37"/>
  <c r="Z137" i="37"/>
  <c r="Y137" i="37"/>
  <c r="P137" i="37"/>
  <c r="N137" i="37"/>
  <c r="Z136" i="37"/>
  <c r="Y136" i="37"/>
  <c r="P136" i="37"/>
  <c r="N136" i="37"/>
  <c r="Z135" i="37"/>
  <c r="Y135" i="37"/>
  <c r="P135" i="37"/>
  <c r="N135" i="37"/>
  <c r="Z134" i="37"/>
  <c r="Y134" i="37"/>
  <c r="P134" i="37"/>
  <c r="N134" i="37"/>
  <c r="Z133" i="37"/>
  <c r="Y133" i="37"/>
  <c r="P133" i="37"/>
  <c r="N133" i="37"/>
  <c r="Z132" i="37"/>
  <c r="Y132" i="37"/>
  <c r="P132" i="37"/>
  <c r="N132" i="37"/>
  <c r="Z131" i="37"/>
  <c r="Y131" i="37"/>
  <c r="P131" i="37"/>
  <c r="N131" i="37"/>
  <c r="Z130" i="37"/>
  <c r="Y130" i="37"/>
  <c r="P130" i="37"/>
  <c r="N130" i="37"/>
  <c r="Z129" i="37"/>
  <c r="Y129" i="37"/>
  <c r="P129" i="37"/>
  <c r="N129" i="37"/>
  <c r="Z128" i="37"/>
  <c r="Y128" i="37"/>
  <c r="P128" i="37"/>
  <c r="N128" i="37"/>
  <c r="Z127" i="37"/>
  <c r="Y127" i="37"/>
  <c r="P127" i="37"/>
  <c r="N127" i="37"/>
  <c r="Z126" i="37"/>
  <c r="Y126" i="37"/>
  <c r="P126" i="37"/>
  <c r="N126" i="37"/>
  <c r="Z125" i="37"/>
  <c r="Y125" i="37"/>
  <c r="P125" i="37"/>
  <c r="N125" i="37"/>
  <c r="Z124" i="37"/>
  <c r="Y124" i="37"/>
  <c r="P124" i="37"/>
  <c r="N124" i="37"/>
  <c r="Z123" i="37"/>
  <c r="Y123" i="37"/>
  <c r="P123" i="37"/>
  <c r="N123" i="37"/>
  <c r="Z122" i="37"/>
  <c r="Y122" i="37"/>
  <c r="P122" i="37"/>
  <c r="N122" i="37"/>
  <c r="Z121" i="37"/>
  <c r="Y121" i="37"/>
  <c r="P121" i="37"/>
  <c r="N121" i="37"/>
  <c r="Z120" i="37"/>
  <c r="Y120" i="37"/>
  <c r="P120" i="37"/>
  <c r="N120" i="37"/>
  <c r="Z119" i="37"/>
  <c r="Y119" i="37"/>
  <c r="P119" i="37"/>
  <c r="N119" i="37"/>
  <c r="Z118" i="37"/>
  <c r="Y118" i="37"/>
  <c r="P118" i="37"/>
  <c r="N118" i="37"/>
  <c r="Z117" i="37"/>
  <c r="Y117" i="37"/>
  <c r="P117" i="37"/>
  <c r="N117" i="37"/>
  <c r="Z116" i="37"/>
  <c r="Y116" i="37"/>
  <c r="P116" i="37"/>
  <c r="N116" i="37"/>
  <c r="Z115" i="37"/>
  <c r="Y115" i="37"/>
  <c r="P115" i="37"/>
  <c r="N115" i="37"/>
  <c r="Z114" i="37"/>
  <c r="Y114" i="37"/>
  <c r="P114" i="37"/>
  <c r="N114" i="37"/>
  <c r="Z113" i="37"/>
  <c r="Y113" i="37"/>
  <c r="P113" i="37"/>
  <c r="N113" i="37"/>
  <c r="Z112" i="37"/>
  <c r="Y112" i="37"/>
  <c r="P112" i="37"/>
  <c r="N112" i="37"/>
  <c r="Z111" i="37"/>
  <c r="Y111" i="37"/>
  <c r="P111" i="37"/>
  <c r="N111" i="37"/>
  <c r="Z110" i="37"/>
  <c r="Y110" i="37"/>
  <c r="P110" i="37"/>
  <c r="N110" i="37"/>
  <c r="Z109" i="37"/>
  <c r="Y109" i="37"/>
  <c r="P109" i="37"/>
  <c r="N109" i="37"/>
  <c r="Z108" i="37"/>
  <c r="Y108" i="37"/>
  <c r="P108" i="37"/>
  <c r="N108" i="37"/>
  <c r="Z107" i="37"/>
  <c r="Y107" i="37"/>
  <c r="P107" i="37"/>
  <c r="N107" i="37"/>
  <c r="Z106" i="37"/>
  <c r="Y106" i="37"/>
  <c r="P106" i="37"/>
  <c r="N106" i="37"/>
  <c r="Z105" i="37"/>
  <c r="Y105" i="37"/>
  <c r="P105" i="37"/>
  <c r="N105" i="37"/>
  <c r="Z104" i="37"/>
  <c r="Y104" i="37"/>
  <c r="P104" i="37"/>
  <c r="N104" i="37"/>
  <c r="Z103" i="37"/>
  <c r="Y103" i="37"/>
  <c r="P103" i="37"/>
  <c r="N103" i="37"/>
  <c r="Z102" i="37"/>
  <c r="Y102" i="37"/>
  <c r="P102" i="37"/>
  <c r="N102" i="37"/>
  <c r="Z101" i="37"/>
  <c r="Y101" i="37"/>
  <c r="P101" i="37"/>
  <c r="N101" i="37"/>
  <c r="Z100" i="37"/>
  <c r="R31" i="37" s="1"/>
  <c r="Y100" i="37"/>
  <c r="R30" i="37" s="1"/>
  <c r="P100" i="37"/>
  <c r="N100" i="37"/>
  <c r="Z99" i="37"/>
  <c r="Y99" i="37"/>
  <c r="P99" i="37"/>
  <c r="N99" i="37"/>
  <c r="Z98" i="37"/>
  <c r="Y98" i="37"/>
  <c r="P98" i="37"/>
  <c r="N98" i="37"/>
  <c r="Z97" i="37"/>
  <c r="Y97" i="37"/>
  <c r="P97" i="37"/>
  <c r="N97" i="37"/>
  <c r="Z143" i="17"/>
  <c r="Z144" i="17"/>
  <c r="Z145" i="17"/>
  <c r="Z146" i="17"/>
  <c r="Z147" i="17"/>
  <c r="Z148" i="17"/>
  <c r="Z149" i="17"/>
  <c r="Z150" i="17"/>
  <c r="Z151" i="17"/>
  <c r="Z152" i="17"/>
  <c r="Z153" i="17"/>
  <c r="Z154" i="17"/>
  <c r="Z155" i="17"/>
  <c r="Z156" i="17"/>
  <c r="Z157" i="17"/>
  <c r="Z158" i="17"/>
  <c r="Z159" i="17"/>
  <c r="Z160" i="17"/>
  <c r="Z161" i="17"/>
  <c r="Z162" i="17"/>
  <c r="Z163" i="17"/>
  <c r="Z164" i="17"/>
  <c r="Z165" i="17"/>
  <c r="Z166" i="17"/>
  <c r="Z167" i="17"/>
  <c r="Z168" i="17"/>
  <c r="Z169" i="17"/>
  <c r="Z170" i="17"/>
  <c r="Z171" i="17"/>
  <c r="Z172" i="17"/>
  <c r="Z173" i="17"/>
  <c r="Z174" i="17"/>
  <c r="Z175" i="17"/>
  <c r="Z176" i="17"/>
  <c r="Z177" i="17"/>
  <c r="Z178" i="17"/>
  <c r="Z179" i="17"/>
  <c r="Z180" i="17"/>
  <c r="Z181" i="17"/>
  <c r="Z182" i="17"/>
  <c r="Z183" i="17"/>
  <c r="Z184" i="17"/>
  <c r="Z185" i="17"/>
  <c r="Z186" i="17"/>
  <c r="Z187" i="17"/>
  <c r="Z188" i="17"/>
  <c r="Z189" i="17"/>
  <c r="Z190" i="17"/>
  <c r="Z191" i="17"/>
  <c r="Z19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C18" i="45" l="1"/>
  <c r="C29" i="53"/>
  <c r="C18" i="53"/>
  <c r="H313" i="56"/>
  <c r="C18" i="42"/>
  <c r="H126" i="56"/>
  <c r="C18" i="40"/>
  <c r="H92" i="56"/>
  <c r="C18" i="48"/>
  <c r="H228" i="56"/>
  <c r="C18" i="50"/>
  <c r="H262" i="56"/>
  <c r="C18" i="41"/>
  <c r="H109" i="56"/>
  <c r="C18" i="44"/>
  <c r="H160" i="56"/>
  <c r="C18" i="54"/>
  <c r="H330" i="56"/>
  <c r="I16" i="17"/>
  <c r="I15" i="17"/>
  <c r="I11" i="17"/>
  <c r="I10" i="17"/>
  <c r="I9" i="17"/>
  <c r="I8" i="17"/>
  <c r="I7" i="17"/>
  <c r="C18" i="43"/>
  <c r="H143" i="56"/>
  <c r="C18" i="55"/>
  <c r="H347" i="56"/>
  <c r="R24" i="17"/>
  <c r="C24" i="45"/>
  <c r="R25" i="17"/>
  <c r="C18" i="46"/>
  <c r="H194" i="56"/>
  <c r="C18" i="47"/>
  <c r="H211" i="56"/>
  <c r="C18" i="37"/>
  <c r="H41" i="56"/>
  <c r="C18" i="49"/>
  <c r="H245" i="56"/>
  <c r="C18" i="38"/>
  <c r="H58" i="56"/>
  <c r="C18" i="39"/>
  <c r="H75" i="56"/>
  <c r="C18" i="51"/>
  <c r="H279" i="56"/>
  <c r="C18" i="52"/>
  <c r="H296" i="56"/>
  <c r="J11" i="17"/>
  <c r="J10" i="17"/>
  <c r="J9" i="17"/>
  <c r="J16" i="17"/>
  <c r="J8" i="17"/>
  <c r="J15" i="17"/>
  <c r="J7" i="17"/>
  <c r="J14" i="17"/>
  <c r="J13" i="17"/>
  <c r="J12" i="17"/>
  <c r="K13" i="17"/>
  <c r="K9" i="17"/>
  <c r="K16" i="17"/>
  <c r="K12" i="17"/>
  <c r="K8" i="17"/>
  <c r="K10" i="17"/>
  <c r="K14" i="17"/>
  <c r="K15" i="17"/>
  <c r="K11" i="17"/>
  <c r="K7" i="17"/>
  <c r="K12" i="55"/>
  <c r="K13" i="55"/>
  <c r="K10" i="55"/>
  <c r="K14" i="55"/>
  <c r="K11" i="55"/>
  <c r="K15" i="55"/>
  <c r="K7" i="55"/>
  <c r="K16" i="55"/>
  <c r="K8" i="55"/>
  <c r="K9" i="55"/>
  <c r="O16" i="55"/>
  <c r="O8" i="55"/>
  <c r="O7" i="55"/>
  <c r="O9" i="55"/>
  <c r="O15" i="55"/>
  <c r="O10" i="55"/>
  <c r="O11" i="55"/>
  <c r="O14" i="55"/>
  <c r="O12" i="55"/>
  <c r="O13" i="55"/>
  <c r="L13" i="55"/>
  <c r="L11" i="55"/>
  <c r="L12" i="55"/>
  <c r="L14" i="55"/>
  <c r="L15" i="55"/>
  <c r="L7" i="55"/>
  <c r="L16" i="55"/>
  <c r="L8" i="55"/>
  <c r="L9" i="55"/>
  <c r="L10" i="55"/>
  <c r="I10" i="55"/>
  <c r="I11" i="55"/>
  <c r="I8" i="55"/>
  <c r="I12" i="55"/>
  <c r="I13" i="55"/>
  <c r="I9" i="55"/>
  <c r="I14" i="55"/>
  <c r="I15" i="55"/>
  <c r="I7" i="55"/>
  <c r="I16" i="55"/>
  <c r="M14" i="55"/>
  <c r="M15" i="55"/>
  <c r="M7" i="55"/>
  <c r="M16" i="55"/>
  <c r="M8" i="55"/>
  <c r="M12" i="55"/>
  <c r="M9" i="55"/>
  <c r="M13" i="55"/>
  <c r="M10" i="55"/>
  <c r="M11" i="55"/>
  <c r="J11" i="55"/>
  <c r="J9" i="55"/>
  <c r="J12" i="55"/>
  <c r="J13" i="55"/>
  <c r="J14" i="55"/>
  <c r="J15" i="55"/>
  <c r="J7" i="55"/>
  <c r="J10" i="55"/>
  <c r="J16" i="55"/>
  <c r="J8" i="55"/>
  <c r="N15" i="55"/>
  <c r="N7" i="55"/>
  <c r="N16" i="55"/>
  <c r="N8" i="55"/>
  <c r="N9" i="55"/>
  <c r="N10" i="55"/>
  <c r="N11" i="55"/>
  <c r="N13" i="55"/>
  <c r="N12" i="55"/>
  <c r="N14" i="55"/>
  <c r="J13" i="54"/>
  <c r="J14" i="54"/>
  <c r="J10" i="54"/>
  <c r="J15" i="54"/>
  <c r="J7" i="54"/>
  <c r="J16" i="54"/>
  <c r="J8" i="54"/>
  <c r="J9" i="54"/>
  <c r="J11" i="54"/>
  <c r="J12" i="54"/>
  <c r="N9" i="54"/>
  <c r="N14" i="54"/>
  <c r="N10" i="54"/>
  <c r="N11" i="54"/>
  <c r="N12" i="54"/>
  <c r="N13" i="54"/>
  <c r="N15" i="54"/>
  <c r="N7" i="54"/>
  <c r="N16" i="54"/>
  <c r="N8" i="54"/>
  <c r="K14" i="54"/>
  <c r="K11" i="54"/>
  <c r="K15" i="54"/>
  <c r="K7" i="54"/>
  <c r="K16" i="54"/>
  <c r="K8" i="54"/>
  <c r="K9" i="54"/>
  <c r="K10" i="54"/>
  <c r="K12" i="54"/>
  <c r="K13" i="54"/>
  <c r="O10" i="54"/>
  <c r="O7" i="54"/>
  <c r="O11" i="54"/>
  <c r="O15" i="54"/>
  <c r="O12" i="54"/>
  <c r="O13" i="54"/>
  <c r="O14" i="54"/>
  <c r="O16" i="54"/>
  <c r="O8" i="54"/>
  <c r="O9" i="54"/>
  <c r="L15" i="54"/>
  <c r="L7" i="54"/>
  <c r="L16" i="54"/>
  <c r="L8" i="54"/>
  <c r="L12" i="54"/>
  <c r="L9" i="54"/>
  <c r="L10" i="54"/>
  <c r="L11" i="54"/>
  <c r="L13" i="54"/>
  <c r="L14" i="54"/>
  <c r="I12" i="54"/>
  <c r="I13" i="54"/>
  <c r="I14" i="54"/>
  <c r="I9" i="54"/>
  <c r="I15" i="54"/>
  <c r="I7" i="54"/>
  <c r="I16" i="54"/>
  <c r="I8" i="54"/>
  <c r="I10" i="54"/>
  <c r="I11" i="54"/>
  <c r="M16" i="54"/>
  <c r="M8" i="54"/>
  <c r="M9" i="54"/>
  <c r="M10" i="54"/>
  <c r="M13" i="54"/>
  <c r="M11" i="54"/>
  <c r="M12" i="54"/>
  <c r="M14" i="54"/>
  <c r="M15" i="54"/>
  <c r="M7" i="54"/>
  <c r="I14" i="53"/>
  <c r="I12" i="53"/>
  <c r="I13" i="53"/>
  <c r="I15" i="53"/>
  <c r="I7" i="53"/>
  <c r="I16" i="53"/>
  <c r="I8" i="53"/>
  <c r="I9" i="53"/>
  <c r="I10" i="53"/>
  <c r="I11" i="53"/>
  <c r="M10" i="53"/>
  <c r="M11" i="53"/>
  <c r="M12" i="53"/>
  <c r="M8" i="53"/>
  <c r="M9" i="53"/>
  <c r="M13" i="53"/>
  <c r="M16" i="53"/>
  <c r="M14" i="53"/>
  <c r="M15" i="53"/>
  <c r="M7" i="53"/>
  <c r="J15" i="53"/>
  <c r="J7" i="53"/>
  <c r="J16" i="53"/>
  <c r="J8" i="53"/>
  <c r="J9" i="53"/>
  <c r="J13" i="53"/>
  <c r="J14" i="53"/>
  <c r="J10" i="53"/>
  <c r="J11" i="53"/>
  <c r="J12" i="53"/>
  <c r="N11" i="53"/>
  <c r="N9" i="53"/>
  <c r="N10" i="53"/>
  <c r="N12" i="53"/>
  <c r="N13" i="53"/>
  <c r="N14" i="53"/>
  <c r="N15" i="53"/>
  <c r="N7" i="53"/>
  <c r="N16" i="53"/>
  <c r="N8" i="53"/>
  <c r="K16" i="53"/>
  <c r="K8" i="53"/>
  <c r="K9" i="53"/>
  <c r="K10" i="53"/>
  <c r="K14" i="53"/>
  <c r="K15" i="53"/>
  <c r="K7" i="53"/>
  <c r="K11" i="53"/>
  <c r="K12" i="53"/>
  <c r="K13" i="53"/>
  <c r="O12" i="53"/>
  <c r="O13" i="53"/>
  <c r="O14" i="53"/>
  <c r="O10" i="53"/>
  <c r="O11" i="53"/>
  <c r="O15" i="53"/>
  <c r="O7" i="53"/>
  <c r="O16" i="53"/>
  <c r="O8" i="53"/>
  <c r="O9" i="53"/>
  <c r="L9" i="53"/>
  <c r="L15" i="53"/>
  <c r="L16" i="53"/>
  <c r="L8" i="53"/>
  <c r="L10" i="53"/>
  <c r="L11" i="53"/>
  <c r="L12" i="53"/>
  <c r="L7" i="53"/>
  <c r="L13" i="53"/>
  <c r="L14" i="53"/>
  <c r="L11" i="52"/>
  <c r="L12" i="52"/>
  <c r="L16" i="52"/>
  <c r="L8" i="52"/>
  <c r="L13" i="52"/>
  <c r="L15" i="52"/>
  <c r="L7" i="52"/>
  <c r="L14" i="52"/>
  <c r="L9" i="52"/>
  <c r="L10" i="52"/>
  <c r="I16" i="52"/>
  <c r="I8" i="52"/>
  <c r="I9" i="52"/>
  <c r="I13" i="52"/>
  <c r="I10" i="52"/>
  <c r="I12" i="52"/>
  <c r="I11" i="52"/>
  <c r="I14" i="52"/>
  <c r="I15" i="52"/>
  <c r="I7" i="52"/>
  <c r="M12" i="52"/>
  <c r="M13" i="52"/>
  <c r="M16" i="52"/>
  <c r="M9" i="52"/>
  <c r="M14" i="52"/>
  <c r="M15" i="52"/>
  <c r="M7" i="52"/>
  <c r="M8" i="52"/>
  <c r="M10" i="52"/>
  <c r="M11" i="52"/>
  <c r="J9" i="52"/>
  <c r="J10" i="52"/>
  <c r="J13" i="52"/>
  <c r="J14" i="52"/>
  <c r="J11" i="52"/>
  <c r="J12" i="52"/>
  <c r="J15" i="52"/>
  <c r="J7" i="52"/>
  <c r="J16" i="52"/>
  <c r="J8" i="52"/>
  <c r="N13" i="52"/>
  <c r="N14" i="52"/>
  <c r="N9" i="52"/>
  <c r="N15" i="52"/>
  <c r="N7" i="52"/>
  <c r="N16" i="52"/>
  <c r="N8" i="52"/>
  <c r="N10" i="52"/>
  <c r="N11" i="52"/>
  <c r="N12" i="52"/>
  <c r="K10" i="52"/>
  <c r="K11" i="52"/>
  <c r="K15" i="52"/>
  <c r="K7" i="52"/>
  <c r="K12" i="52"/>
  <c r="K13" i="52"/>
  <c r="K14" i="52"/>
  <c r="K16" i="52"/>
  <c r="K8" i="52"/>
  <c r="K9" i="52"/>
  <c r="O14" i="52"/>
  <c r="O15" i="52"/>
  <c r="O7" i="52"/>
  <c r="O11" i="52"/>
  <c r="O16" i="52"/>
  <c r="O8" i="52"/>
  <c r="O9" i="52"/>
  <c r="O10" i="52"/>
  <c r="O12" i="52"/>
  <c r="O13" i="52"/>
  <c r="K12" i="51"/>
  <c r="K8" i="51"/>
  <c r="K9" i="51"/>
  <c r="K13" i="51"/>
  <c r="K16" i="51"/>
  <c r="K14" i="51"/>
  <c r="K15" i="51"/>
  <c r="K7" i="51"/>
  <c r="K10" i="51"/>
  <c r="K11" i="51"/>
  <c r="O16" i="51"/>
  <c r="O8" i="51"/>
  <c r="O13" i="51"/>
  <c r="O9" i="51"/>
  <c r="O10" i="51"/>
  <c r="O11" i="51"/>
  <c r="O12" i="51"/>
  <c r="O14" i="51"/>
  <c r="O15" i="51"/>
  <c r="O7" i="51"/>
  <c r="L13" i="51"/>
  <c r="L14" i="51"/>
  <c r="L9" i="51"/>
  <c r="L10" i="51"/>
  <c r="L15" i="51"/>
  <c r="L7" i="51"/>
  <c r="L16" i="51"/>
  <c r="L8" i="51"/>
  <c r="L11" i="51"/>
  <c r="L12" i="51"/>
  <c r="I10" i="51"/>
  <c r="I15" i="51"/>
  <c r="I7" i="51"/>
  <c r="I11" i="51"/>
  <c r="I12" i="51"/>
  <c r="I14" i="51"/>
  <c r="I13" i="51"/>
  <c r="I16" i="51"/>
  <c r="I8" i="51"/>
  <c r="I9" i="51"/>
  <c r="M14" i="51"/>
  <c r="M11" i="51"/>
  <c r="M15" i="51"/>
  <c r="M7" i="51"/>
  <c r="M16" i="51"/>
  <c r="M8" i="51"/>
  <c r="M10" i="51"/>
  <c r="M9" i="51"/>
  <c r="M12" i="51"/>
  <c r="M13" i="51"/>
  <c r="J11" i="51"/>
  <c r="J15" i="51"/>
  <c r="J12" i="51"/>
  <c r="J16" i="51"/>
  <c r="J8" i="51"/>
  <c r="J13" i="51"/>
  <c r="J7" i="51"/>
  <c r="J14" i="51"/>
  <c r="J9" i="51"/>
  <c r="J10" i="51"/>
  <c r="N15" i="51"/>
  <c r="N7" i="51"/>
  <c r="N11" i="51"/>
  <c r="N16" i="51"/>
  <c r="N8" i="51"/>
  <c r="N12" i="51"/>
  <c r="N9" i="51"/>
  <c r="N10" i="51"/>
  <c r="N13" i="51"/>
  <c r="N14" i="51"/>
  <c r="J13" i="50"/>
  <c r="J14" i="50"/>
  <c r="J10" i="50"/>
  <c r="J15" i="50"/>
  <c r="J7" i="50"/>
  <c r="J16" i="50"/>
  <c r="J8" i="50"/>
  <c r="J9" i="50"/>
  <c r="J11" i="50"/>
  <c r="J12" i="50"/>
  <c r="N9" i="50"/>
  <c r="N10" i="50"/>
  <c r="N11" i="50"/>
  <c r="N12" i="50"/>
  <c r="N13" i="50"/>
  <c r="N14" i="50"/>
  <c r="N15" i="50"/>
  <c r="N7" i="50"/>
  <c r="N16" i="50"/>
  <c r="N8" i="50"/>
  <c r="K14" i="50"/>
  <c r="K15" i="50"/>
  <c r="K7" i="50"/>
  <c r="K16" i="50"/>
  <c r="K8" i="50"/>
  <c r="K9" i="50"/>
  <c r="K10" i="50"/>
  <c r="K11" i="50"/>
  <c r="K12" i="50"/>
  <c r="K13" i="50"/>
  <c r="O10" i="50"/>
  <c r="O11" i="50"/>
  <c r="O15" i="50"/>
  <c r="O12" i="50"/>
  <c r="O13" i="50"/>
  <c r="O14" i="50"/>
  <c r="O7" i="50"/>
  <c r="O16" i="50"/>
  <c r="O8" i="50"/>
  <c r="O9" i="50"/>
  <c r="L15" i="50"/>
  <c r="L7" i="50"/>
  <c r="L16" i="50"/>
  <c r="L8" i="50"/>
  <c r="L9" i="50"/>
  <c r="L12" i="50"/>
  <c r="L10" i="50"/>
  <c r="L11" i="50"/>
  <c r="L13" i="50"/>
  <c r="L14" i="50"/>
  <c r="I12" i="50"/>
  <c r="I13" i="50"/>
  <c r="I14" i="50"/>
  <c r="I15" i="50"/>
  <c r="I7" i="50"/>
  <c r="I9" i="50"/>
  <c r="I16" i="50"/>
  <c r="I8" i="50"/>
  <c r="I10" i="50"/>
  <c r="I11" i="50"/>
  <c r="M16" i="50"/>
  <c r="M8" i="50"/>
  <c r="M9" i="50"/>
  <c r="M10" i="50"/>
  <c r="M11" i="50"/>
  <c r="M13" i="50"/>
  <c r="M12" i="50"/>
  <c r="M14" i="50"/>
  <c r="M15" i="50"/>
  <c r="M7" i="50"/>
  <c r="I14" i="49"/>
  <c r="I15" i="49"/>
  <c r="I7" i="49"/>
  <c r="I11" i="49"/>
  <c r="I16" i="49"/>
  <c r="I8" i="49"/>
  <c r="I9" i="49"/>
  <c r="I10" i="49"/>
  <c r="I12" i="49"/>
  <c r="I13" i="49"/>
  <c r="M10" i="49"/>
  <c r="M11" i="49"/>
  <c r="M15" i="49"/>
  <c r="M12" i="49"/>
  <c r="M13" i="49"/>
  <c r="M14" i="49"/>
  <c r="M7" i="49"/>
  <c r="M16" i="49"/>
  <c r="M8" i="49"/>
  <c r="M9" i="49"/>
  <c r="J15" i="49"/>
  <c r="J7" i="49"/>
  <c r="J16" i="49"/>
  <c r="J8" i="49"/>
  <c r="J9" i="49"/>
  <c r="J10" i="49"/>
  <c r="J11" i="49"/>
  <c r="J12" i="49"/>
  <c r="J13" i="49"/>
  <c r="J14" i="49"/>
  <c r="N11" i="49"/>
  <c r="N12" i="49"/>
  <c r="N8" i="49"/>
  <c r="N13" i="49"/>
  <c r="N14" i="49"/>
  <c r="N15" i="49"/>
  <c r="N7" i="49"/>
  <c r="N16" i="49"/>
  <c r="N9" i="49"/>
  <c r="N10" i="49"/>
  <c r="K16" i="49"/>
  <c r="K8" i="49"/>
  <c r="K9" i="49"/>
  <c r="K13" i="49"/>
  <c r="K10" i="49"/>
  <c r="K11" i="49"/>
  <c r="K12" i="49"/>
  <c r="K14" i="49"/>
  <c r="K15" i="49"/>
  <c r="K7" i="49"/>
  <c r="O12" i="49"/>
  <c r="O13" i="49"/>
  <c r="O14" i="49"/>
  <c r="O15" i="49"/>
  <c r="O7" i="49"/>
  <c r="O16" i="49"/>
  <c r="O8" i="49"/>
  <c r="O9" i="49"/>
  <c r="O10" i="49"/>
  <c r="O11" i="49"/>
  <c r="L9" i="49"/>
  <c r="L10" i="49"/>
  <c r="L11" i="49"/>
  <c r="L12" i="49"/>
  <c r="L13" i="49"/>
  <c r="L14" i="49"/>
  <c r="L15" i="49"/>
  <c r="L7" i="49"/>
  <c r="L16" i="49"/>
  <c r="L8" i="49"/>
  <c r="L11" i="48"/>
  <c r="L12" i="48"/>
  <c r="L13" i="48"/>
  <c r="L14" i="48"/>
  <c r="L15" i="48"/>
  <c r="L7" i="48"/>
  <c r="L10" i="48"/>
  <c r="L16" i="48"/>
  <c r="L8" i="48"/>
  <c r="L9" i="48"/>
  <c r="I16" i="48"/>
  <c r="I8" i="48"/>
  <c r="I9" i="48"/>
  <c r="I10" i="48"/>
  <c r="I11" i="48"/>
  <c r="I12" i="48"/>
  <c r="I13" i="48"/>
  <c r="I7" i="48"/>
  <c r="I14" i="48"/>
  <c r="I15" i="48"/>
  <c r="M12" i="48"/>
  <c r="M13" i="48"/>
  <c r="M11" i="48"/>
  <c r="M14" i="48"/>
  <c r="M15" i="48"/>
  <c r="M7" i="48"/>
  <c r="M16" i="48"/>
  <c r="M8" i="48"/>
  <c r="M9" i="48"/>
  <c r="M10" i="48"/>
  <c r="J9" i="48"/>
  <c r="J8" i="48"/>
  <c r="J10" i="48"/>
  <c r="J11" i="48"/>
  <c r="J12" i="48"/>
  <c r="J13" i="48"/>
  <c r="J14" i="48"/>
  <c r="J16" i="48"/>
  <c r="J15" i="48"/>
  <c r="J7" i="48"/>
  <c r="N13" i="48"/>
  <c r="N14" i="48"/>
  <c r="N15" i="48"/>
  <c r="N7" i="48"/>
  <c r="N16" i="48"/>
  <c r="N8" i="48"/>
  <c r="N12" i="48"/>
  <c r="N9" i="48"/>
  <c r="N10" i="48"/>
  <c r="N11" i="48"/>
  <c r="K10" i="48"/>
  <c r="K11" i="48"/>
  <c r="K12" i="48"/>
  <c r="K9" i="48"/>
  <c r="K13" i="48"/>
  <c r="K14" i="48"/>
  <c r="K15" i="48"/>
  <c r="K7" i="48"/>
  <c r="K16" i="48"/>
  <c r="K8" i="48"/>
  <c r="O14" i="48"/>
  <c r="O13" i="48"/>
  <c r="O15" i="48"/>
  <c r="O7" i="48"/>
  <c r="O16" i="48"/>
  <c r="O8" i="48"/>
  <c r="O9" i="48"/>
  <c r="O10" i="48"/>
  <c r="O11" i="48"/>
  <c r="O12" i="48"/>
  <c r="K12" i="47"/>
  <c r="K13" i="47"/>
  <c r="K10" i="47"/>
  <c r="K14" i="47"/>
  <c r="K11" i="47"/>
  <c r="K15" i="47"/>
  <c r="K7" i="47"/>
  <c r="K16" i="47"/>
  <c r="K8" i="47"/>
  <c r="K9" i="47"/>
  <c r="O16" i="47"/>
  <c r="O8" i="47"/>
  <c r="O7" i="47"/>
  <c r="O9" i="47"/>
  <c r="O10" i="47"/>
  <c r="O15" i="47"/>
  <c r="O11" i="47"/>
  <c r="O12" i="47"/>
  <c r="O14" i="47"/>
  <c r="O13" i="47"/>
  <c r="L13" i="47"/>
  <c r="L14" i="47"/>
  <c r="L15" i="47"/>
  <c r="L7" i="47"/>
  <c r="L11" i="47"/>
  <c r="L16" i="47"/>
  <c r="L8" i="47"/>
  <c r="L9" i="47"/>
  <c r="L12" i="47"/>
  <c r="L10" i="47"/>
  <c r="I10" i="47"/>
  <c r="I11" i="47"/>
  <c r="I12" i="47"/>
  <c r="I16" i="47"/>
  <c r="I13" i="47"/>
  <c r="I14" i="47"/>
  <c r="I9" i="47"/>
  <c r="I15" i="47"/>
  <c r="I7" i="47"/>
  <c r="I8" i="47"/>
  <c r="M14" i="47"/>
  <c r="M13" i="47"/>
  <c r="M15" i="47"/>
  <c r="M7" i="47"/>
  <c r="M16" i="47"/>
  <c r="M8" i="47"/>
  <c r="M9" i="47"/>
  <c r="M10" i="47"/>
  <c r="M11" i="47"/>
  <c r="M12" i="47"/>
  <c r="J11" i="47"/>
  <c r="J9" i="47"/>
  <c r="J12" i="47"/>
  <c r="J13" i="47"/>
  <c r="J14" i="47"/>
  <c r="J15" i="47"/>
  <c r="J7" i="47"/>
  <c r="J16" i="47"/>
  <c r="J8" i="47"/>
  <c r="J10" i="47"/>
  <c r="N15" i="47"/>
  <c r="N7" i="47"/>
  <c r="N13" i="47"/>
  <c r="N16" i="47"/>
  <c r="N8" i="47"/>
  <c r="N9" i="47"/>
  <c r="N10" i="47"/>
  <c r="N11" i="47"/>
  <c r="N12" i="47"/>
  <c r="N14" i="47"/>
  <c r="J13" i="46"/>
  <c r="J14" i="46"/>
  <c r="J15" i="46"/>
  <c r="J7" i="46"/>
  <c r="J16" i="46"/>
  <c r="J8" i="46"/>
  <c r="J10" i="46"/>
  <c r="J9" i="46"/>
  <c r="J11" i="46"/>
  <c r="J12" i="46"/>
  <c r="N9" i="46"/>
  <c r="N14" i="46"/>
  <c r="N10" i="46"/>
  <c r="N11" i="46"/>
  <c r="N12" i="46"/>
  <c r="N13" i="46"/>
  <c r="N15" i="46"/>
  <c r="N7" i="46"/>
  <c r="N16" i="46"/>
  <c r="N8" i="46"/>
  <c r="K14" i="46"/>
  <c r="K11" i="46"/>
  <c r="K15" i="46"/>
  <c r="K7" i="46"/>
  <c r="K16" i="46"/>
  <c r="K8" i="46"/>
  <c r="K9" i="46"/>
  <c r="K10" i="46"/>
  <c r="K12" i="46"/>
  <c r="K13" i="46"/>
  <c r="O10" i="46"/>
  <c r="O11" i="46"/>
  <c r="O12" i="46"/>
  <c r="O13" i="46"/>
  <c r="O14" i="46"/>
  <c r="O15" i="46"/>
  <c r="O7" i="46"/>
  <c r="O16" i="46"/>
  <c r="O8" i="46"/>
  <c r="O9" i="46"/>
  <c r="L15" i="46"/>
  <c r="L7" i="46"/>
  <c r="L16" i="46"/>
  <c r="L8" i="46"/>
  <c r="L12" i="46"/>
  <c r="L9" i="46"/>
  <c r="L10" i="46"/>
  <c r="L11" i="46"/>
  <c r="L13" i="46"/>
  <c r="L14" i="46"/>
  <c r="I12" i="46"/>
  <c r="I13" i="46"/>
  <c r="I9" i="46"/>
  <c r="I14" i="46"/>
  <c r="I15" i="46"/>
  <c r="I7" i="46"/>
  <c r="I16" i="46"/>
  <c r="I8" i="46"/>
  <c r="I10" i="46"/>
  <c r="I11" i="46"/>
  <c r="M16" i="46"/>
  <c r="M8" i="46"/>
  <c r="M9" i="46"/>
  <c r="M10" i="46"/>
  <c r="M11" i="46"/>
  <c r="M13" i="46"/>
  <c r="M12" i="46"/>
  <c r="M14" i="46"/>
  <c r="M15" i="46"/>
  <c r="M7" i="46"/>
  <c r="I14" i="45"/>
  <c r="I15" i="45"/>
  <c r="I7" i="45"/>
  <c r="I12" i="45"/>
  <c r="I16" i="45"/>
  <c r="I8" i="45"/>
  <c r="I9" i="45"/>
  <c r="I10" i="45"/>
  <c r="I11" i="45"/>
  <c r="I13" i="45"/>
  <c r="M10" i="45"/>
  <c r="M11" i="45"/>
  <c r="M16" i="45"/>
  <c r="M8" i="45"/>
  <c r="M9" i="45"/>
  <c r="M12" i="45"/>
  <c r="M13" i="45"/>
  <c r="M7" i="45"/>
  <c r="M14" i="45"/>
  <c r="M15" i="45"/>
  <c r="J15" i="45"/>
  <c r="J7" i="45"/>
  <c r="J16" i="45"/>
  <c r="J8" i="45"/>
  <c r="J12" i="45"/>
  <c r="J14" i="45"/>
  <c r="J9" i="45"/>
  <c r="J10" i="45"/>
  <c r="J11" i="45"/>
  <c r="J13" i="45"/>
  <c r="N11" i="45"/>
  <c r="N12" i="45"/>
  <c r="N16" i="45"/>
  <c r="N8" i="45"/>
  <c r="N13" i="45"/>
  <c r="N14" i="45"/>
  <c r="N15" i="45"/>
  <c r="N7" i="45"/>
  <c r="N9" i="45"/>
  <c r="N10" i="45"/>
  <c r="K16" i="45"/>
  <c r="K8" i="45"/>
  <c r="K9" i="45"/>
  <c r="K14" i="45"/>
  <c r="K7" i="45"/>
  <c r="K10" i="45"/>
  <c r="K13" i="45"/>
  <c r="K11" i="45"/>
  <c r="K12" i="45"/>
  <c r="K15" i="45"/>
  <c r="O12" i="45"/>
  <c r="O13" i="45"/>
  <c r="O11" i="45"/>
  <c r="O14" i="45"/>
  <c r="O9" i="45"/>
  <c r="O15" i="45"/>
  <c r="O7" i="45"/>
  <c r="O16" i="45"/>
  <c r="O8" i="45"/>
  <c r="O10" i="45"/>
  <c r="L9" i="45"/>
  <c r="L10" i="45"/>
  <c r="L16" i="45"/>
  <c r="L11" i="45"/>
  <c r="L12" i="45"/>
  <c r="L14" i="45"/>
  <c r="L13" i="45"/>
  <c r="L15" i="45"/>
  <c r="L7" i="45"/>
  <c r="L8" i="45"/>
  <c r="L11" i="44"/>
  <c r="L12" i="44"/>
  <c r="L13" i="44"/>
  <c r="L14" i="44"/>
  <c r="L15" i="44"/>
  <c r="L7" i="44"/>
  <c r="L9" i="44"/>
  <c r="L16" i="44"/>
  <c r="L8" i="44"/>
  <c r="L10" i="44"/>
  <c r="I16" i="44"/>
  <c r="I8" i="44"/>
  <c r="I9" i="44"/>
  <c r="I7" i="44"/>
  <c r="I10" i="44"/>
  <c r="I11" i="44"/>
  <c r="I12" i="44"/>
  <c r="I14" i="44"/>
  <c r="I13" i="44"/>
  <c r="I15" i="44"/>
  <c r="M12" i="44"/>
  <c r="M13" i="44"/>
  <c r="M11" i="44"/>
  <c r="M14" i="44"/>
  <c r="M15" i="44"/>
  <c r="M7" i="44"/>
  <c r="M16" i="44"/>
  <c r="M8" i="44"/>
  <c r="M9" i="44"/>
  <c r="M10" i="44"/>
  <c r="J9" i="44"/>
  <c r="J10" i="44"/>
  <c r="J15" i="44"/>
  <c r="J16" i="44"/>
  <c r="J11" i="44"/>
  <c r="J12" i="44"/>
  <c r="J13" i="44"/>
  <c r="J14" i="44"/>
  <c r="J7" i="44"/>
  <c r="J8" i="44"/>
  <c r="N13" i="44"/>
  <c r="N14" i="44"/>
  <c r="N11" i="44"/>
  <c r="N15" i="44"/>
  <c r="N7" i="44"/>
  <c r="N16" i="44"/>
  <c r="N8" i="44"/>
  <c r="N9" i="44"/>
  <c r="N10" i="44"/>
  <c r="N12" i="44"/>
  <c r="K10" i="44"/>
  <c r="K11" i="44"/>
  <c r="K8" i="44"/>
  <c r="K9" i="44"/>
  <c r="K12" i="44"/>
  <c r="K13" i="44"/>
  <c r="K14" i="44"/>
  <c r="K15" i="44"/>
  <c r="K7" i="44"/>
  <c r="K16" i="44"/>
  <c r="O14" i="44"/>
  <c r="O15" i="44"/>
  <c r="O7" i="44"/>
  <c r="O13" i="44"/>
  <c r="O16" i="44"/>
  <c r="O8" i="44"/>
  <c r="O12" i="44"/>
  <c r="O9" i="44"/>
  <c r="O10" i="44"/>
  <c r="O11" i="44"/>
  <c r="K12" i="43"/>
  <c r="K13" i="43"/>
  <c r="K14" i="43"/>
  <c r="K16" i="43"/>
  <c r="K8" i="43"/>
  <c r="K15" i="43"/>
  <c r="K7" i="43"/>
  <c r="K10" i="43"/>
  <c r="K11" i="43"/>
  <c r="K9" i="43"/>
  <c r="O16" i="43"/>
  <c r="O8" i="43"/>
  <c r="O9" i="43"/>
  <c r="O10" i="43"/>
  <c r="O12" i="43"/>
  <c r="O11" i="43"/>
  <c r="O14" i="43"/>
  <c r="O15" i="43"/>
  <c r="O7" i="43"/>
  <c r="O13" i="43"/>
  <c r="L13" i="43"/>
  <c r="L14" i="43"/>
  <c r="L9" i="43"/>
  <c r="L15" i="43"/>
  <c r="L7" i="43"/>
  <c r="L10" i="43"/>
  <c r="L16" i="43"/>
  <c r="L8" i="43"/>
  <c r="L11" i="43"/>
  <c r="L12" i="43"/>
  <c r="I10" i="43"/>
  <c r="I11" i="43"/>
  <c r="I12" i="43"/>
  <c r="I15" i="43"/>
  <c r="I13" i="43"/>
  <c r="I14" i="43"/>
  <c r="I16" i="43"/>
  <c r="I8" i="43"/>
  <c r="I9" i="43"/>
  <c r="I7" i="43"/>
  <c r="M14" i="43"/>
  <c r="M15" i="43"/>
  <c r="M7" i="43"/>
  <c r="M16" i="43"/>
  <c r="M8" i="43"/>
  <c r="M10" i="43"/>
  <c r="M9" i="43"/>
  <c r="M12" i="43"/>
  <c r="M13" i="43"/>
  <c r="M11" i="43"/>
  <c r="J11" i="43"/>
  <c r="J12" i="43"/>
  <c r="J15" i="43"/>
  <c r="J7" i="43"/>
  <c r="J13" i="43"/>
  <c r="J8" i="43"/>
  <c r="J14" i="43"/>
  <c r="J9" i="43"/>
  <c r="J10" i="43"/>
  <c r="J16" i="43"/>
  <c r="N15" i="43"/>
  <c r="N7" i="43"/>
  <c r="N16" i="43"/>
  <c r="N8" i="43"/>
  <c r="N11" i="43"/>
  <c r="N9" i="43"/>
  <c r="N12" i="43"/>
  <c r="N10" i="43"/>
  <c r="N13" i="43"/>
  <c r="N14" i="43"/>
  <c r="J13" i="42"/>
  <c r="J14" i="42"/>
  <c r="J11" i="42"/>
  <c r="J12" i="42"/>
  <c r="J15" i="42"/>
  <c r="J7" i="42"/>
  <c r="J16" i="42"/>
  <c r="J8" i="42"/>
  <c r="J9" i="42"/>
  <c r="J10" i="42"/>
  <c r="N9" i="42"/>
  <c r="N7" i="42"/>
  <c r="N10" i="42"/>
  <c r="N16" i="42"/>
  <c r="N11" i="42"/>
  <c r="N12" i="42"/>
  <c r="N13" i="42"/>
  <c r="N15" i="42"/>
  <c r="N14" i="42"/>
  <c r="N8" i="42"/>
  <c r="K14" i="42"/>
  <c r="K12" i="42"/>
  <c r="K15" i="42"/>
  <c r="K7" i="42"/>
  <c r="K16" i="42"/>
  <c r="K8" i="42"/>
  <c r="K9" i="42"/>
  <c r="K10" i="42"/>
  <c r="K11" i="42"/>
  <c r="K13" i="42"/>
  <c r="O10" i="42"/>
  <c r="O11" i="42"/>
  <c r="O16" i="42"/>
  <c r="O9" i="42"/>
  <c r="O12" i="42"/>
  <c r="O13" i="42"/>
  <c r="O14" i="42"/>
  <c r="O8" i="42"/>
  <c r="O15" i="42"/>
  <c r="O7" i="42"/>
  <c r="L15" i="42"/>
  <c r="L7" i="42"/>
  <c r="L14" i="42"/>
  <c r="L16" i="42"/>
  <c r="L8" i="42"/>
  <c r="L9" i="42"/>
  <c r="L10" i="42"/>
  <c r="L11" i="42"/>
  <c r="L12" i="42"/>
  <c r="L13" i="42"/>
  <c r="I12" i="42"/>
  <c r="I13" i="42"/>
  <c r="I14" i="42"/>
  <c r="I15" i="42"/>
  <c r="I7" i="42"/>
  <c r="I16" i="42"/>
  <c r="I8" i="42"/>
  <c r="I9" i="42"/>
  <c r="I10" i="42"/>
  <c r="I11" i="42"/>
  <c r="M16" i="42"/>
  <c r="M8" i="42"/>
  <c r="M14" i="42"/>
  <c r="M9" i="42"/>
  <c r="M7" i="42"/>
  <c r="M10" i="42"/>
  <c r="M11" i="42"/>
  <c r="M12" i="42"/>
  <c r="M13" i="42"/>
  <c r="M15" i="42"/>
  <c r="I14" i="41"/>
  <c r="I15" i="41"/>
  <c r="I7" i="41"/>
  <c r="I11" i="41"/>
  <c r="I12" i="41"/>
  <c r="I16" i="41"/>
  <c r="I8" i="41"/>
  <c r="I9" i="41"/>
  <c r="I10" i="41"/>
  <c r="I13" i="41"/>
  <c r="M10" i="41"/>
  <c r="M11" i="41"/>
  <c r="M7" i="41"/>
  <c r="M16" i="41"/>
  <c r="M8" i="41"/>
  <c r="M9" i="41"/>
  <c r="M12" i="41"/>
  <c r="M13" i="41"/>
  <c r="M14" i="41"/>
  <c r="M15" i="41"/>
  <c r="J15" i="41"/>
  <c r="J7" i="41"/>
  <c r="J16" i="41"/>
  <c r="J8" i="41"/>
  <c r="J14" i="41"/>
  <c r="J9" i="41"/>
  <c r="J10" i="41"/>
  <c r="J11" i="41"/>
  <c r="J12" i="41"/>
  <c r="J13" i="41"/>
  <c r="N11" i="41"/>
  <c r="N8" i="41"/>
  <c r="N12" i="41"/>
  <c r="N16" i="41"/>
  <c r="N13" i="41"/>
  <c r="N14" i="41"/>
  <c r="N15" i="41"/>
  <c r="N7" i="41"/>
  <c r="N9" i="41"/>
  <c r="N10" i="41"/>
  <c r="K16" i="41"/>
  <c r="K8" i="41"/>
  <c r="K9" i="41"/>
  <c r="K13" i="41"/>
  <c r="K14" i="41"/>
  <c r="K7" i="41"/>
  <c r="K10" i="41"/>
  <c r="K11" i="41"/>
  <c r="K12" i="41"/>
  <c r="K15" i="41"/>
  <c r="O12" i="41"/>
  <c r="O13" i="41"/>
  <c r="O11" i="41"/>
  <c r="O14" i="41"/>
  <c r="O15" i="41"/>
  <c r="O7" i="41"/>
  <c r="O16" i="41"/>
  <c r="O8" i="41"/>
  <c r="O9" i="41"/>
  <c r="O10" i="41"/>
  <c r="L9" i="41"/>
  <c r="L10" i="41"/>
  <c r="L16" i="41"/>
  <c r="L11" i="41"/>
  <c r="L14" i="41"/>
  <c r="L7" i="41"/>
  <c r="L12" i="41"/>
  <c r="L13" i="41"/>
  <c r="L15" i="41"/>
  <c r="L8" i="41"/>
  <c r="L11" i="40"/>
  <c r="L7" i="40"/>
  <c r="L12" i="40"/>
  <c r="L16" i="40"/>
  <c r="L8" i="40"/>
  <c r="L13" i="40"/>
  <c r="L14" i="40"/>
  <c r="L15" i="40"/>
  <c r="L9" i="40"/>
  <c r="L10" i="40"/>
  <c r="I16" i="40"/>
  <c r="I8" i="40"/>
  <c r="I12" i="40"/>
  <c r="I9" i="40"/>
  <c r="I13" i="40"/>
  <c r="I10" i="40"/>
  <c r="I11" i="40"/>
  <c r="I14" i="40"/>
  <c r="I15" i="40"/>
  <c r="I7" i="40"/>
  <c r="M12" i="40"/>
  <c r="M16" i="40"/>
  <c r="M9" i="40"/>
  <c r="M13" i="40"/>
  <c r="M8" i="40"/>
  <c r="M14" i="40"/>
  <c r="M15" i="40"/>
  <c r="M7" i="40"/>
  <c r="M10" i="40"/>
  <c r="M11" i="40"/>
  <c r="J9" i="40"/>
  <c r="J14" i="40"/>
  <c r="J10" i="40"/>
  <c r="J11" i="40"/>
  <c r="J13" i="40"/>
  <c r="J12" i="40"/>
  <c r="J15" i="40"/>
  <c r="J7" i="40"/>
  <c r="J16" i="40"/>
  <c r="J8" i="40"/>
  <c r="N13" i="40"/>
  <c r="N14" i="40"/>
  <c r="N10" i="40"/>
  <c r="N15" i="40"/>
  <c r="N7" i="40"/>
  <c r="N9" i="40"/>
  <c r="N16" i="40"/>
  <c r="N8" i="40"/>
  <c r="N11" i="40"/>
  <c r="N12" i="40"/>
  <c r="K10" i="40"/>
  <c r="K15" i="40"/>
  <c r="K7" i="40"/>
  <c r="K11" i="40"/>
  <c r="K14" i="40"/>
  <c r="K12" i="40"/>
  <c r="K13" i="40"/>
  <c r="K16" i="40"/>
  <c r="K8" i="40"/>
  <c r="K9" i="40"/>
  <c r="O14" i="40"/>
  <c r="O11" i="40"/>
  <c r="O15" i="40"/>
  <c r="O7" i="40"/>
  <c r="O10" i="40"/>
  <c r="O16" i="40"/>
  <c r="O8" i="40"/>
  <c r="O9" i="40"/>
  <c r="O12" i="40"/>
  <c r="O13" i="40"/>
  <c r="K12" i="39"/>
  <c r="K13" i="39"/>
  <c r="K14" i="39"/>
  <c r="K15" i="39"/>
  <c r="K7" i="39"/>
  <c r="K16" i="39"/>
  <c r="K8" i="39"/>
  <c r="K9" i="39"/>
  <c r="K10" i="39"/>
  <c r="K11" i="39"/>
  <c r="O16" i="39"/>
  <c r="O8" i="39"/>
  <c r="O9" i="39"/>
  <c r="O13" i="39"/>
  <c r="O10" i="39"/>
  <c r="O11" i="39"/>
  <c r="O12" i="39"/>
  <c r="O14" i="39"/>
  <c r="O15" i="39"/>
  <c r="O7" i="39"/>
  <c r="L13" i="39"/>
  <c r="L14" i="39"/>
  <c r="L15" i="39"/>
  <c r="L7" i="39"/>
  <c r="L16" i="39"/>
  <c r="L8" i="39"/>
  <c r="L10" i="39"/>
  <c r="L9" i="39"/>
  <c r="L11" i="39"/>
  <c r="L12" i="39"/>
  <c r="I10" i="39"/>
  <c r="I11" i="39"/>
  <c r="I15" i="39"/>
  <c r="I12" i="39"/>
  <c r="I13" i="39"/>
  <c r="I14" i="39"/>
  <c r="I7" i="39"/>
  <c r="I16" i="39"/>
  <c r="I8" i="39"/>
  <c r="I9" i="39"/>
  <c r="M14" i="39"/>
  <c r="M15" i="39"/>
  <c r="M7" i="39"/>
  <c r="M11" i="39"/>
  <c r="M16" i="39"/>
  <c r="M8" i="39"/>
  <c r="M9" i="39"/>
  <c r="M10" i="39"/>
  <c r="M12" i="39"/>
  <c r="M13" i="39"/>
  <c r="J11" i="39"/>
  <c r="J12" i="39"/>
  <c r="J8" i="39"/>
  <c r="J13" i="39"/>
  <c r="J14" i="39"/>
  <c r="J15" i="39"/>
  <c r="J7" i="39"/>
  <c r="J16" i="39"/>
  <c r="J9" i="39"/>
  <c r="J10" i="39"/>
  <c r="N15" i="39"/>
  <c r="N7" i="39"/>
  <c r="N16" i="39"/>
  <c r="N8" i="39"/>
  <c r="N9" i="39"/>
  <c r="N10" i="39"/>
  <c r="N11" i="39"/>
  <c r="N12" i="39"/>
  <c r="N13" i="39"/>
  <c r="N14" i="39"/>
  <c r="N9" i="38"/>
  <c r="N14" i="38"/>
  <c r="N10" i="38"/>
  <c r="N11" i="38"/>
  <c r="N12" i="38"/>
  <c r="N13" i="38"/>
  <c r="N15" i="38"/>
  <c r="N7" i="38"/>
  <c r="N16" i="38"/>
  <c r="N8" i="38"/>
  <c r="M16" i="38"/>
  <c r="M8" i="38"/>
  <c r="M9" i="38"/>
  <c r="M13" i="38"/>
  <c r="M10" i="38"/>
  <c r="M11" i="38"/>
  <c r="M12" i="38"/>
  <c r="M14" i="38"/>
  <c r="M15" i="38"/>
  <c r="M7" i="38"/>
  <c r="O10" i="38"/>
  <c r="O11" i="38"/>
  <c r="O12" i="38"/>
  <c r="O15" i="38"/>
  <c r="O7" i="38"/>
  <c r="O13" i="38"/>
  <c r="O14" i="38"/>
  <c r="O16" i="38"/>
  <c r="O8" i="38"/>
  <c r="O9" i="38"/>
  <c r="I12" i="38"/>
  <c r="I13" i="38"/>
  <c r="I14" i="38"/>
  <c r="I15" i="38"/>
  <c r="I7" i="38"/>
  <c r="I16" i="38"/>
  <c r="I8" i="38"/>
  <c r="I9" i="38"/>
  <c r="I10" i="38"/>
  <c r="I11" i="38"/>
  <c r="J13" i="38"/>
  <c r="J14" i="38"/>
  <c r="J10" i="38"/>
  <c r="J15" i="38"/>
  <c r="J7" i="38"/>
  <c r="J16" i="38"/>
  <c r="J8" i="38"/>
  <c r="J9" i="38"/>
  <c r="J11" i="38"/>
  <c r="J12" i="38"/>
  <c r="K14" i="38"/>
  <c r="K11" i="38"/>
  <c r="K15" i="38"/>
  <c r="K7" i="38"/>
  <c r="K16" i="38"/>
  <c r="K8" i="38"/>
  <c r="K9" i="38"/>
  <c r="K10" i="38"/>
  <c r="K12" i="38"/>
  <c r="K13" i="38"/>
  <c r="L15" i="38"/>
  <c r="L7" i="38"/>
  <c r="L16" i="38"/>
  <c r="L8" i="38"/>
  <c r="L9" i="38"/>
  <c r="L12" i="38"/>
  <c r="L10" i="38"/>
  <c r="L11" i="38"/>
  <c r="L13" i="38"/>
  <c r="L14" i="38"/>
  <c r="M10" i="37"/>
  <c r="M15" i="37"/>
  <c r="M7" i="37"/>
  <c r="M12" i="37"/>
  <c r="M14" i="37"/>
  <c r="M11" i="37"/>
  <c r="M9" i="37"/>
  <c r="M16" i="37"/>
  <c r="M8" i="37"/>
  <c r="M13" i="37"/>
  <c r="N15" i="37"/>
  <c r="N7" i="37"/>
  <c r="N12" i="37"/>
  <c r="N11" i="37"/>
  <c r="N9" i="37"/>
  <c r="N14" i="37"/>
  <c r="N16" i="37"/>
  <c r="N13" i="37"/>
  <c r="N10" i="37"/>
  <c r="N8" i="37"/>
  <c r="O12" i="37"/>
  <c r="O9" i="37"/>
  <c r="O13" i="37"/>
  <c r="O14" i="37"/>
  <c r="O11" i="37"/>
  <c r="O16" i="37"/>
  <c r="O10" i="37"/>
  <c r="O8" i="37"/>
  <c r="O15" i="37"/>
  <c r="O7" i="37"/>
  <c r="K16" i="37"/>
  <c r="K8" i="37"/>
  <c r="K9" i="37"/>
  <c r="K13" i="37"/>
  <c r="K10" i="37"/>
  <c r="K11" i="37"/>
  <c r="K12" i="37"/>
  <c r="K14" i="37"/>
  <c r="K15" i="37"/>
  <c r="K7" i="37"/>
  <c r="J15" i="37"/>
  <c r="J7" i="37"/>
  <c r="J16" i="37"/>
  <c r="J8" i="37"/>
  <c r="J9" i="37"/>
  <c r="J10" i="37"/>
  <c r="J11" i="37"/>
  <c r="J12" i="37"/>
  <c r="J13" i="37"/>
  <c r="J14" i="37"/>
  <c r="L9" i="37"/>
  <c r="L10" i="37"/>
  <c r="L11" i="37"/>
  <c r="L12" i="37"/>
  <c r="L13" i="37"/>
  <c r="L14" i="37"/>
  <c r="L15" i="37"/>
  <c r="L7" i="37"/>
  <c r="L16" i="37"/>
  <c r="L8" i="37"/>
  <c r="I14" i="37"/>
  <c r="I15" i="37"/>
  <c r="I7" i="37"/>
  <c r="I16" i="37"/>
  <c r="I8" i="37"/>
  <c r="I9" i="37"/>
  <c r="I10" i="37"/>
  <c r="I11" i="37"/>
  <c r="I12" i="37"/>
  <c r="I13" i="37"/>
  <c r="O16" i="17"/>
  <c r="O8" i="17"/>
  <c r="O13" i="17"/>
  <c r="O10" i="17"/>
  <c r="O15" i="17"/>
  <c r="O7" i="17"/>
  <c r="O12" i="17"/>
  <c r="O9" i="17"/>
  <c r="O11" i="17"/>
  <c r="O14" i="17"/>
  <c r="N16" i="17"/>
  <c r="N14" i="17"/>
  <c r="N12" i="17"/>
  <c r="N10" i="17"/>
  <c r="N8" i="17"/>
  <c r="N15" i="17"/>
  <c r="N13" i="17"/>
  <c r="N11" i="17"/>
  <c r="N9" i="17"/>
  <c r="N7" i="17"/>
  <c r="M10" i="17"/>
  <c r="M13" i="17"/>
  <c r="M7" i="17"/>
  <c r="M16" i="17"/>
  <c r="M8" i="17"/>
  <c r="M11" i="17"/>
  <c r="M14" i="17"/>
  <c r="M9" i="17"/>
  <c r="M12" i="17"/>
  <c r="M15" i="17"/>
  <c r="L15" i="17"/>
  <c r="L11" i="17"/>
  <c r="L7" i="17"/>
  <c r="L10" i="17"/>
  <c r="L16" i="17"/>
  <c r="L12" i="17"/>
  <c r="L8" i="17"/>
  <c r="L13" i="17"/>
  <c r="L9" i="17"/>
  <c r="L14" i="17"/>
  <c r="R26" i="17"/>
  <c r="C24" i="42"/>
  <c r="C24" i="50"/>
  <c r="C24" i="43"/>
  <c r="C29" i="43"/>
  <c r="C24" i="51"/>
  <c r="C29" i="51"/>
  <c r="C24" i="44"/>
  <c r="C29" i="44"/>
  <c r="C24" i="52"/>
  <c r="C29" i="52"/>
  <c r="C29" i="42"/>
  <c r="R22" i="17"/>
  <c r="R27" i="17"/>
  <c r="C29" i="38"/>
  <c r="C24" i="46"/>
  <c r="C24" i="54"/>
  <c r="C24" i="38"/>
  <c r="C29" i="54"/>
  <c r="C29" i="40"/>
  <c r="C29" i="48"/>
  <c r="C24" i="48"/>
  <c r="C29" i="41"/>
  <c r="C29" i="49"/>
  <c r="C29" i="37"/>
  <c r="C29" i="47"/>
  <c r="C29" i="55"/>
  <c r="C29" i="39"/>
  <c r="C24" i="39"/>
  <c r="C29" i="17"/>
  <c r="C24" i="17"/>
  <c r="Y97" i="17"/>
  <c r="Z97" i="17"/>
  <c r="Y98" i="17"/>
  <c r="Z98" i="17"/>
  <c r="Y99" i="17"/>
  <c r="Z99" i="17"/>
  <c r="Y100" i="17"/>
  <c r="R30" i="17" s="1"/>
  <c r="Z100" i="17"/>
  <c r="R31" i="17" s="1"/>
  <c r="Y101" i="17"/>
  <c r="Z101" i="17"/>
  <c r="Y102" i="17"/>
  <c r="Z102" i="17"/>
  <c r="Y103" i="17"/>
  <c r="Z103" i="17"/>
  <c r="Y104" i="17"/>
  <c r="Z104" i="17"/>
  <c r="Y105" i="17"/>
  <c r="Z105" i="17"/>
  <c r="Y106" i="17"/>
  <c r="Z106" i="17"/>
  <c r="Y107" i="17"/>
  <c r="Z107" i="17"/>
  <c r="Y108" i="17"/>
  <c r="Z108" i="17"/>
  <c r="Y109" i="17"/>
  <c r="Z109" i="17"/>
  <c r="Y110" i="17"/>
  <c r="Z110" i="17"/>
  <c r="Y111" i="17"/>
  <c r="Z111" i="17"/>
  <c r="Y112" i="17"/>
  <c r="Z112" i="17"/>
  <c r="Y113" i="17"/>
  <c r="Z113" i="17"/>
  <c r="Y114" i="17"/>
  <c r="Z114" i="17"/>
  <c r="Y115" i="17"/>
  <c r="Z115" i="17"/>
  <c r="Y116" i="17"/>
  <c r="Z116" i="17"/>
  <c r="Y117" i="17"/>
  <c r="Z117" i="17"/>
  <c r="Y118" i="17"/>
  <c r="Z118" i="17"/>
  <c r="Y119" i="17"/>
  <c r="Z119" i="17"/>
  <c r="Y120" i="17"/>
  <c r="Z120" i="17"/>
  <c r="Y121" i="17"/>
  <c r="Z121" i="17"/>
  <c r="Y122" i="17"/>
  <c r="Z122" i="17"/>
  <c r="Y123" i="17"/>
  <c r="Z123" i="17"/>
  <c r="Y124" i="17"/>
  <c r="Z124" i="17"/>
  <c r="Y125" i="17"/>
  <c r="Z125" i="17"/>
  <c r="Y126" i="17"/>
  <c r="Z126" i="17"/>
  <c r="Y127" i="17"/>
  <c r="Z127" i="17"/>
  <c r="Y128" i="17"/>
  <c r="Z128" i="17"/>
  <c r="Y129" i="17"/>
  <c r="Z129" i="17"/>
  <c r="Y130" i="17"/>
  <c r="Z130" i="17"/>
  <c r="Y131" i="17"/>
  <c r="Z131" i="17"/>
  <c r="Y132" i="17"/>
  <c r="Z132" i="17"/>
  <c r="Y133" i="17"/>
  <c r="Z133" i="17"/>
  <c r="Y134" i="17"/>
  <c r="Z134" i="17"/>
  <c r="Y135" i="17"/>
  <c r="Z135" i="17"/>
  <c r="Y136" i="17"/>
  <c r="I13" i="17" s="1"/>
  <c r="Z136" i="17"/>
  <c r="I14" i="17" s="1"/>
  <c r="Y137" i="17"/>
  <c r="Z137" i="17"/>
  <c r="Y138" i="17"/>
  <c r="Z138" i="17"/>
  <c r="Y139" i="17"/>
  <c r="Z139" i="17"/>
  <c r="Y140" i="17"/>
  <c r="Z140" i="17"/>
  <c r="Y141" i="17"/>
  <c r="Z141" i="17"/>
  <c r="Y142" i="17"/>
  <c r="Z142" i="17"/>
  <c r="P189" i="17"/>
  <c r="P186" i="17"/>
  <c r="P185" i="17"/>
  <c r="P181" i="17"/>
  <c r="P178" i="17"/>
  <c r="P177" i="17"/>
  <c r="P173" i="17"/>
  <c r="P170" i="17"/>
  <c r="P169" i="17"/>
  <c r="P165" i="17"/>
  <c r="P162" i="17"/>
  <c r="P161" i="17"/>
  <c r="P157" i="17"/>
  <c r="P154" i="17"/>
  <c r="P153" i="17"/>
  <c r="P149" i="17"/>
  <c r="P146" i="17"/>
  <c r="P145" i="17"/>
  <c r="P143" i="17"/>
  <c r="P144" i="17"/>
  <c r="P147" i="17"/>
  <c r="P148" i="17"/>
  <c r="P150" i="17"/>
  <c r="P151" i="17"/>
  <c r="P152" i="17"/>
  <c r="P155" i="17"/>
  <c r="P156" i="17"/>
  <c r="P158" i="17"/>
  <c r="P159" i="17"/>
  <c r="P160" i="17"/>
  <c r="P163" i="17"/>
  <c r="P164" i="17"/>
  <c r="P166" i="17"/>
  <c r="P167" i="17"/>
  <c r="P168" i="17"/>
  <c r="P171" i="17"/>
  <c r="P172" i="17"/>
  <c r="P174" i="17"/>
  <c r="P175" i="17"/>
  <c r="P176" i="17"/>
  <c r="P179" i="17"/>
  <c r="P180" i="17"/>
  <c r="P182" i="17"/>
  <c r="P183" i="17"/>
  <c r="P184" i="17"/>
  <c r="P187" i="17"/>
  <c r="P188" i="17"/>
  <c r="P190" i="17"/>
  <c r="P191" i="17"/>
  <c r="P192" i="17"/>
  <c r="F138" i="56" l="1"/>
  <c r="E138" i="56"/>
  <c r="E31" i="56"/>
  <c r="F31" i="56"/>
  <c r="F35" i="56"/>
  <c r="E35" i="56"/>
  <c r="F54" i="56"/>
  <c r="E54" i="56"/>
  <c r="E235" i="56"/>
  <c r="F235" i="56"/>
  <c r="F291" i="56"/>
  <c r="E291" i="56"/>
  <c r="F321" i="56"/>
  <c r="E321" i="56"/>
  <c r="F337" i="56"/>
  <c r="E337" i="56"/>
  <c r="F136" i="56"/>
  <c r="E136" i="56"/>
  <c r="F152" i="56"/>
  <c r="E152" i="56"/>
  <c r="F240" i="56"/>
  <c r="E240" i="56"/>
  <c r="F270" i="56"/>
  <c r="E270" i="56"/>
  <c r="F269" i="56"/>
  <c r="E269" i="56"/>
  <c r="F289" i="56"/>
  <c r="E289" i="56"/>
  <c r="F303" i="56"/>
  <c r="E303" i="56"/>
  <c r="F343" i="56"/>
  <c r="E343" i="56"/>
  <c r="E36" i="56"/>
  <c r="F36" i="56"/>
  <c r="F187" i="56"/>
  <c r="E187" i="56"/>
  <c r="F189" i="56"/>
  <c r="E189" i="56"/>
  <c r="F273" i="56"/>
  <c r="E273" i="56"/>
  <c r="F275" i="56"/>
  <c r="E275" i="56"/>
  <c r="E271" i="56"/>
  <c r="F271" i="56"/>
  <c r="F288" i="56"/>
  <c r="E288" i="56"/>
  <c r="F102" i="56"/>
  <c r="E102" i="56"/>
  <c r="E184" i="56"/>
  <c r="F184" i="56"/>
  <c r="F340" i="56"/>
  <c r="E340" i="56"/>
  <c r="F48" i="56"/>
  <c r="E48" i="56"/>
  <c r="E49" i="56"/>
  <c r="F49" i="56"/>
  <c r="E99" i="56"/>
  <c r="F99" i="56"/>
  <c r="F155" i="56"/>
  <c r="E155" i="56"/>
  <c r="E34" i="56"/>
  <c r="F34" i="56"/>
  <c r="F52" i="56"/>
  <c r="E52" i="56"/>
  <c r="F53" i="56"/>
  <c r="E53" i="56"/>
  <c r="F104" i="56"/>
  <c r="E104" i="56"/>
  <c r="F185" i="56"/>
  <c r="E185" i="56"/>
  <c r="F236" i="56"/>
  <c r="E236" i="56"/>
  <c r="F308" i="56"/>
  <c r="E308" i="56"/>
  <c r="F322" i="56"/>
  <c r="E322" i="56"/>
  <c r="E103" i="56"/>
  <c r="F103" i="56"/>
  <c r="F292" i="56"/>
  <c r="E292" i="56"/>
  <c r="F290" i="56"/>
  <c r="E290" i="56"/>
  <c r="E338" i="56"/>
  <c r="F338" i="56"/>
  <c r="F237" i="56"/>
  <c r="E237" i="56"/>
  <c r="F50" i="56"/>
  <c r="E50" i="56"/>
  <c r="E153" i="56"/>
  <c r="F153" i="56"/>
  <c r="F238" i="56"/>
  <c r="E238" i="56"/>
  <c r="F287" i="56"/>
  <c r="E287" i="56"/>
  <c r="F324" i="56"/>
  <c r="E324" i="56"/>
  <c r="E137" i="56"/>
  <c r="F137" i="56"/>
  <c r="F139" i="56"/>
  <c r="E139" i="56"/>
  <c r="E135" i="56"/>
  <c r="F135" i="56"/>
  <c r="E190" i="56"/>
  <c r="F190" i="56"/>
  <c r="F241" i="56"/>
  <c r="E241" i="56"/>
  <c r="E305" i="56"/>
  <c r="F305" i="56"/>
  <c r="F341" i="56"/>
  <c r="E341" i="56"/>
  <c r="F339" i="56"/>
  <c r="E339" i="56"/>
  <c r="E342" i="56"/>
  <c r="F342" i="56"/>
  <c r="E32" i="56"/>
  <c r="F32" i="56"/>
  <c r="E37" i="56"/>
  <c r="F37" i="56"/>
  <c r="F101" i="56"/>
  <c r="E101" i="56"/>
  <c r="F100" i="56"/>
  <c r="E100" i="56"/>
  <c r="F134" i="56"/>
  <c r="E134" i="56"/>
  <c r="F186" i="56"/>
  <c r="E186" i="56"/>
  <c r="F274" i="56"/>
  <c r="E274" i="56"/>
  <c r="F272" i="56"/>
  <c r="E272" i="56"/>
  <c r="F304" i="56"/>
  <c r="E304" i="56"/>
  <c r="F320" i="56"/>
  <c r="E320" i="56"/>
  <c r="F326" i="56"/>
  <c r="E326" i="56"/>
  <c r="F286" i="56"/>
  <c r="E286" i="56"/>
  <c r="F156" i="56"/>
  <c r="E156" i="56"/>
  <c r="F151" i="56"/>
  <c r="E151" i="56"/>
  <c r="E239" i="56"/>
  <c r="F239" i="56"/>
  <c r="F309" i="56"/>
  <c r="E309" i="56"/>
  <c r="F14" i="56"/>
  <c r="E14" i="56"/>
  <c r="F33" i="56"/>
  <c r="E33" i="56"/>
  <c r="E51" i="56"/>
  <c r="F51" i="56"/>
  <c r="E105" i="56"/>
  <c r="F105" i="56"/>
  <c r="F133" i="56"/>
  <c r="E133" i="56"/>
  <c r="E154" i="56"/>
  <c r="F154" i="56"/>
  <c r="F150" i="56"/>
  <c r="E150" i="56"/>
  <c r="E188" i="56"/>
  <c r="F188" i="56"/>
  <c r="F306" i="56"/>
  <c r="E306" i="56"/>
  <c r="E307" i="56"/>
  <c r="F307" i="56"/>
  <c r="F323" i="56"/>
  <c r="E323" i="56"/>
  <c r="E325" i="56"/>
  <c r="F325" i="56"/>
  <c r="F15" i="56"/>
  <c r="E15" i="56"/>
  <c r="F16" i="56"/>
  <c r="E16" i="56"/>
  <c r="F120" i="56"/>
  <c r="E120" i="56"/>
  <c r="F68" i="56"/>
  <c r="E68" i="56"/>
  <c r="F84" i="56"/>
  <c r="E84" i="56"/>
  <c r="F167" i="56"/>
  <c r="E167" i="56"/>
  <c r="F201" i="56"/>
  <c r="E201" i="56"/>
  <c r="E203" i="56"/>
  <c r="F203" i="56"/>
  <c r="F19" i="56"/>
  <c r="E19" i="56"/>
  <c r="E70" i="56"/>
  <c r="F70" i="56"/>
  <c r="E86" i="56"/>
  <c r="F86" i="56"/>
  <c r="E82" i="56"/>
  <c r="F82" i="56"/>
  <c r="F122" i="56"/>
  <c r="E122" i="56"/>
  <c r="F118" i="56"/>
  <c r="E118" i="56"/>
  <c r="F171" i="56"/>
  <c r="E171" i="56"/>
  <c r="F206" i="56"/>
  <c r="E206" i="56"/>
  <c r="F223" i="56"/>
  <c r="E223" i="56"/>
  <c r="F204" i="56"/>
  <c r="E204" i="56"/>
  <c r="F67" i="56"/>
  <c r="E67" i="56"/>
  <c r="F116" i="56"/>
  <c r="E116" i="56"/>
  <c r="E207" i="56"/>
  <c r="F207" i="56"/>
  <c r="E252" i="56"/>
  <c r="F252" i="56"/>
  <c r="F254" i="56"/>
  <c r="E254" i="56"/>
  <c r="F173" i="56"/>
  <c r="E173" i="56"/>
  <c r="F71" i="56"/>
  <c r="E71" i="56"/>
  <c r="F85" i="56"/>
  <c r="E85" i="56"/>
  <c r="E117" i="56"/>
  <c r="F117" i="56"/>
  <c r="F205" i="56"/>
  <c r="E205" i="56"/>
  <c r="F220" i="56"/>
  <c r="E220" i="56"/>
  <c r="F222" i="56"/>
  <c r="E222" i="56"/>
  <c r="F218" i="56"/>
  <c r="E218" i="56"/>
  <c r="E256" i="56"/>
  <c r="F256" i="56"/>
  <c r="F20" i="56"/>
  <c r="E20" i="56"/>
  <c r="F83" i="56"/>
  <c r="E83" i="56"/>
  <c r="F17" i="56"/>
  <c r="E17" i="56"/>
  <c r="F258" i="56"/>
  <c r="E258" i="56"/>
  <c r="F253" i="56"/>
  <c r="E253" i="56"/>
  <c r="F255" i="56"/>
  <c r="E255" i="56"/>
  <c r="F87" i="56"/>
  <c r="E87" i="56"/>
  <c r="F65" i="56"/>
  <c r="E65" i="56"/>
  <c r="F69" i="56"/>
  <c r="E69" i="56"/>
  <c r="F88" i="56"/>
  <c r="E88" i="56"/>
  <c r="E121" i="56"/>
  <c r="F121" i="56"/>
  <c r="F172" i="56"/>
  <c r="E172" i="56"/>
  <c r="F168" i="56"/>
  <c r="E168" i="56"/>
  <c r="F224" i="56"/>
  <c r="E224" i="56"/>
  <c r="F219" i="56"/>
  <c r="E219" i="56"/>
  <c r="F119" i="56"/>
  <c r="E119" i="56"/>
  <c r="E221" i="56"/>
  <c r="F221" i="56"/>
  <c r="F257" i="56"/>
  <c r="E257" i="56"/>
  <c r="E18" i="56"/>
  <c r="F18" i="56"/>
  <c r="E66" i="56"/>
  <c r="F66" i="56"/>
  <c r="E170" i="56"/>
  <c r="F170" i="56"/>
  <c r="F169" i="56"/>
  <c r="E169" i="56"/>
  <c r="F202" i="56"/>
  <c r="E202" i="56"/>
  <c r="Q184" i="17"/>
  <c r="Q184" i="55"/>
  <c r="Q184" i="54"/>
  <c r="Q184" i="53"/>
  <c r="Q184" i="52"/>
  <c r="Q184" i="51"/>
  <c r="Q184" i="50"/>
  <c r="Q184" i="49"/>
  <c r="Q184" i="48"/>
  <c r="Q184" i="46"/>
  <c r="Q184" i="47"/>
  <c r="Q184" i="45"/>
  <c r="Q184" i="44"/>
  <c r="Q184" i="43"/>
  <c r="Q184" i="41"/>
  <c r="Q184" i="40"/>
  <c r="Q184" i="37"/>
  <c r="Q184" i="39"/>
  <c r="Q184" i="38"/>
  <c r="Q178" i="17"/>
  <c r="Q178" i="55"/>
  <c r="Q178" i="54"/>
  <c r="Q178" i="53"/>
  <c r="Q178" i="52"/>
  <c r="Q178" i="51"/>
  <c r="Q178" i="50"/>
  <c r="Q178" i="48"/>
  <c r="Q178" i="47"/>
  <c r="Q178" i="46"/>
  <c r="Q178" i="49"/>
  <c r="Q178" i="45"/>
  <c r="Q178" i="44"/>
  <c r="Q178" i="43"/>
  <c r="Q178" i="37"/>
  <c r="Q178" i="38"/>
  <c r="Q178" i="41"/>
  <c r="Q178" i="40"/>
  <c r="Q178" i="39"/>
  <c r="Q158" i="17"/>
  <c r="Q158" i="49"/>
  <c r="Q158" i="54"/>
  <c r="Q158" i="52"/>
  <c r="Q158" i="50"/>
  <c r="Q158" i="55"/>
  <c r="Q158" i="53"/>
  <c r="Q158" i="51"/>
  <c r="Q158" i="45"/>
  <c r="Q158" i="44"/>
  <c r="Q158" i="43"/>
  <c r="Q158" i="48"/>
  <c r="Q158" i="46"/>
  <c r="Q158" i="47"/>
  <c r="Q158" i="40"/>
  <c r="Q158" i="39"/>
  <c r="Q158" i="38"/>
  <c r="Q158" i="37"/>
  <c r="Q158" i="41"/>
  <c r="Q168" i="17"/>
  <c r="Q168" i="55"/>
  <c r="Q168" i="54"/>
  <c r="Q168" i="53"/>
  <c r="Q168" i="52"/>
  <c r="Q168" i="51"/>
  <c r="Q168" i="50"/>
  <c r="Q168" i="47"/>
  <c r="Q168" i="46"/>
  <c r="Q168" i="48"/>
  <c r="Q168" i="45"/>
  <c r="Q168" i="44"/>
  <c r="Q168" i="43"/>
  <c r="Q168" i="41"/>
  <c r="Q168" i="49"/>
  <c r="Q168" i="37"/>
  <c r="Q168" i="40"/>
  <c r="Q168" i="39"/>
  <c r="Q168" i="38"/>
  <c r="Q185" i="17"/>
  <c r="Q185" i="48"/>
  <c r="Q185" i="47"/>
  <c r="Q185" i="46"/>
  <c r="Q185" i="55"/>
  <c r="Q185" i="53"/>
  <c r="Q185" i="51"/>
  <c r="Q185" i="49"/>
  <c r="Q185" i="50"/>
  <c r="Q185" i="45"/>
  <c r="Q185" i="44"/>
  <c r="Q185" i="43"/>
  <c r="Q185" i="41"/>
  <c r="Q185" i="40"/>
  <c r="Q185" i="52"/>
  <c r="Q185" i="39"/>
  <c r="Q185" i="38"/>
  <c r="Q185" i="37"/>
  <c r="Q185" i="54"/>
  <c r="Q180" i="17"/>
  <c r="Q180" i="55"/>
  <c r="Q180" i="53"/>
  <c r="Q180" i="51"/>
  <c r="Q180" i="48"/>
  <c r="Q180" i="47"/>
  <c r="Q180" i="54"/>
  <c r="Q180" i="52"/>
  <c r="Q180" i="50"/>
  <c r="Q180" i="49"/>
  <c r="Q180" i="45"/>
  <c r="Q180" i="44"/>
  <c r="Q180" i="43"/>
  <c r="Q180" i="41"/>
  <c r="Q180" i="46"/>
  <c r="Q180" i="39"/>
  <c r="Q180" i="38"/>
  <c r="Q180" i="37"/>
  <c r="Q180" i="40"/>
  <c r="Q167" i="17"/>
  <c r="Q167" i="54"/>
  <c r="Q167" i="52"/>
  <c r="Q167" i="50"/>
  <c r="Q167" i="48"/>
  <c r="Q167" i="47"/>
  <c r="Q167" i="55"/>
  <c r="Q167" i="53"/>
  <c r="Q167" i="51"/>
  <c r="Q167" i="49"/>
  <c r="Q167" i="46"/>
  <c r="Q167" i="45"/>
  <c r="Q167" i="44"/>
  <c r="Q167" i="43"/>
  <c r="Q167" i="41"/>
  <c r="Q167" i="40"/>
  <c r="Q167" i="39"/>
  <c r="Q167" i="38"/>
  <c r="Q167" i="37"/>
  <c r="Q145" i="17"/>
  <c r="Q145" i="48"/>
  <c r="Q145" i="47"/>
  <c r="Q145" i="55"/>
  <c r="Q145" i="53"/>
  <c r="Q145" i="51"/>
  <c r="Q145" i="54"/>
  <c r="Q145" i="52"/>
  <c r="Q145" i="46"/>
  <c r="Q145" i="45"/>
  <c r="Q145" i="44"/>
  <c r="Q145" i="43"/>
  <c r="Q145" i="41"/>
  <c r="Q145" i="49"/>
  <c r="Q145" i="50"/>
  <c r="Q145" i="40"/>
  <c r="Q145" i="39"/>
  <c r="Q145" i="38"/>
  <c r="Q145" i="37"/>
  <c r="Q165" i="17"/>
  <c r="Q165" i="55"/>
  <c r="Q165" i="54"/>
  <c r="Q165" i="53"/>
  <c r="Q165" i="52"/>
  <c r="Q165" i="51"/>
  <c r="Q165" i="50"/>
  <c r="Q165" i="49"/>
  <c r="Q165" i="48"/>
  <c r="Q165" i="47"/>
  <c r="Q165" i="46"/>
  <c r="Q165" i="44"/>
  <c r="Q165" i="39"/>
  <c r="Q165" i="38"/>
  <c r="Q165" i="45"/>
  <c r="Q165" i="43"/>
  <c r="Q165" i="40"/>
  <c r="Q165" i="37"/>
  <c r="Q165" i="41"/>
  <c r="Q186" i="17"/>
  <c r="Q186" i="55"/>
  <c r="Q186" i="54"/>
  <c r="Q186" i="53"/>
  <c r="Q186" i="52"/>
  <c r="Q186" i="51"/>
  <c r="Q186" i="50"/>
  <c r="Q186" i="48"/>
  <c r="Q186" i="47"/>
  <c r="Q186" i="46"/>
  <c r="Q186" i="49"/>
  <c r="Q186" i="45"/>
  <c r="Q186" i="44"/>
  <c r="Q186" i="43"/>
  <c r="Q186" i="40"/>
  <c r="Q186" i="37"/>
  <c r="Q186" i="41"/>
  <c r="Q186" i="38"/>
  <c r="Q186" i="39"/>
  <c r="Q147" i="17"/>
  <c r="Q147" i="55"/>
  <c r="Q147" i="53"/>
  <c r="Q147" i="51"/>
  <c r="Q147" i="54"/>
  <c r="Q147" i="49"/>
  <c r="Q147" i="48"/>
  <c r="Q147" i="50"/>
  <c r="Q147" i="47"/>
  <c r="Q147" i="52"/>
  <c r="Q147" i="46"/>
  <c r="Q147" i="45"/>
  <c r="Q147" i="44"/>
  <c r="Q147" i="43"/>
  <c r="Q147" i="41"/>
  <c r="Q147" i="40"/>
  <c r="Q147" i="39"/>
  <c r="Q147" i="38"/>
  <c r="Q147" i="37"/>
  <c r="Q183" i="17"/>
  <c r="Q183" i="55"/>
  <c r="Q183" i="53"/>
  <c r="Q183" i="51"/>
  <c r="Q183" i="48"/>
  <c r="Q183" i="47"/>
  <c r="Q183" i="54"/>
  <c r="Q183" i="52"/>
  <c r="Q183" i="50"/>
  <c r="Q183" i="45"/>
  <c r="Q183" i="44"/>
  <c r="Q183" i="43"/>
  <c r="Q183" i="41"/>
  <c r="Q183" i="40"/>
  <c r="Q183" i="46"/>
  <c r="Q183" i="49"/>
  <c r="Q183" i="39"/>
  <c r="Q183" i="38"/>
  <c r="Q183" i="37"/>
  <c r="Q161" i="17"/>
  <c r="Q161" i="55"/>
  <c r="Q161" i="53"/>
  <c r="Q161" i="51"/>
  <c r="Q161" i="48"/>
  <c r="Q161" i="47"/>
  <c r="Q161" i="46"/>
  <c r="Q161" i="49"/>
  <c r="Q161" i="54"/>
  <c r="Q161" i="52"/>
  <c r="Q161" i="50"/>
  <c r="Q161" i="45"/>
  <c r="Q161" i="44"/>
  <c r="Q161" i="43"/>
  <c r="Q161" i="41"/>
  <c r="Q161" i="40"/>
  <c r="Q161" i="39"/>
  <c r="Q161" i="38"/>
  <c r="Q161" i="37"/>
  <c r="Q181" i="17"/>
  <c r="Q181" i="55"/>
  <c r="Q181" i="54"/>
  <c r="Q181" i="53"/>
  <c r="Q181" i="52"/>
  <c r="Q181" i="51"/>
  <c r="Q181" i="50"/>
  <c r="Q181" i="49"/>
  <c r="Q181" i="48"/>
  <c r="Q181" i="47"/>
  <c r="Q181" i="46"/>
  <c r="Q181" i="39"/>
  <c r="Q181" i="38"/>
  <c r="Q181" i="45"/>
  <c r="Q181" i="43"/>
  <c r="Q181" i="37"/>
  <c r="Q181" i="44"/>
  <c r="Q181" i="40"/>
  <c r="Q181" i="41"/>
  <c r="Q156" i="17"/>
  <c r="Q156" i="49"/>
  <c r="Q156" i="48"/>
  <c r="Q156" i="47"/>
  <c r="Q156" i="54"/>
  <c r="Q156" i="52"/>
  <c r="Q156" i="50"/>
  <c r="Q156" i="55"/>
  <c r="Q156" i="53"/>
  <c r="Q156" i="51"/>
  <c r="Q156" i="45"/>
  <c r="Q156" i="44"/>
  <c r="Q156" i="43"/>
  <c r="Q156" i="46"/>
  <c r="Q156" i="40"/>
  <c r="Q156" i="39"/>
  <c r="Q156" i="38"/>
  <c r="Q156" i="37"/>
  <c r="Q156" i="41"/>
  <c r="Q162" i="17"/>
  <c r="Q162" i="55"/>
  <c r="Q162" i="54"/>
  <c r="Q162" i="53"/>
  <c r="Q162" i="52"/>
  <c r="Q162" i="51"/>
  <c r="Q162" i="50"/>
  <c r="Q162" i="48"/>
  <c r="Q162" i="47"/>
  <c r="Q162" i="46"/>
  <c r="Q162" i="49"/>
  <c r="Q162" i="45"/>
  <c r="Q162" i="44"/>
  <c r="Q162" i="43"/>
  <c r="Q162" i="38"/>
  <c r="Q162" i="37"/>
  <c r="Q162" i="41"/>
  <c r="Q162" i="40"/>
  <c r="Q162" i="39"/>
  <c r="Q192" i="17"/>
  <c r="Q192" i="55"/>
  <c r="Q192" i="54"/>
  <c r="Q192" i="53"/>
  <c r="Q192" i="52"/>
  <c r="Q192" i="51"/>
  <c r="Q192" i="50"/>
  <c r="Q192" i="49"/>
  <c r="Q192" i="47"/>
  <c r="Q192" i="48"/>
  <c r="Q192" i="45"/>
  <c r="Q192" i="44"/>
  <c r="Q192" i="43"/>
  <c r="Q192" i="41"/>
  <c r="Q192" i="40"/>
  <c r="Q192" i="46"/>
  <c r="Q192" i="37"/>
  <c r="Q192" i="39"/>
  <c r="Q192" i="38"/>
  <c r="Q155" i="17"/>
  <c r="Q155" i="54"/>
  <c r="Q155" i="52"/>
  <c r="Q155" i="50"/>
  <c r="Q155" i="55"/>
  <c r="Q155" i="53"/>
  <c r="Q155" i="51"/>
  <c r="Q155" i="46"/>
  <c r="Q155" i="47"/>
  <c r="Q155" i="49"/>
  <c r="Q155" i="48"/>
  <c r="Q155" i="45"/>
  <c r="Q155" i="44"/>
  <c r="Q155" i="43"/>
  <c r="Q155" i="41"/>
  <c r="Q155" i="37"/>
  <c r="Q155" i="40"/>
  <c r="Q155" i="39"/>
  <c r="Q155" i="38"/>
  <c r="Q191" i="17"/>
  <c r="Q191" i="55"/>
  <c r="Q191" i="54"/>
  <c r="Q191" i="52"/>
  <c r="Q191" i="50"/>
  <c r="Q191" i="47"/>
  <c r="Q191" i="46"/>
  <c r="Q191" i="48"/>
  <c r="Q191" i="51"/>
  <c r="Q191" i="45"/>
  <c r="Q191" i="44"/>
  <c r="Q191" i="43"/>
  <c r="Q191" i="41"/>
  <c r="Q191" i="40"/>
  <c r="Q191" i="53"/>
  <c r="Q191" i="49"/>
  <c r="Q191" i="39"/>
  <c r="Q191" i="38"/>
  <c r="Q191" i="37"/>
  <c r="Q179" i="17"/>
  <c r="Q179" i="54"/>
  <c r="Q179" i="52"/>
  <c r="Q179" i="50"/>
  <c r="Q179" i="49"/>
  <c r="Q179" i="46"/>
  <c r="Q179" i="47"/>
  <c r="Q179" i="51"/>
  <c r="Q179" i="55"/>
  <c r="Q179" i="48"/>
  <c r="Q179" i="45"/>
  <c r="Q179" i="44"/>
  <c r="Q179" i="43"/>
  <c r="Q179" i="41"/>
  <c r="Q179" i="40"/>
  <c r="Q179" i="53"/>
  <c r="Q179" i="37"/>
  <c r="Q179" i="39"/>
  <c r="Q179" i="38"/>
  <c r="Q166" i="17"/>
  <c r="Q166" i="55"/>
  <c r="Q166" i="53"/>
  <c r="Q166" i="51"/>
  <c r="Q166" i="49"/>
  <c r="Q166" i="45"/>
  <c r="Q166" i="44"/>
  <c r="Q166" i="43"/>
  <c r="Q166" i="52"/>
  <c r="Q166" i="54"/>
  <c r="Q166" i="47"/>
  <c r="Q166" i="50"/>
  <c r="Q166" i="48"/>
  <c r="Q166" i="40"/>
  <c r="Q166" i="39"/>
  <c r="Q166" i="38"/>
  <c r="Q166" i="37"/>
  <c r="Q166" i="41"/>
  <c r="Q166" i="46"/>
  <c r="Q152" i="17"/>
  <c r="Q152" i="55"/>
  <c r="Q152" i="54"/>
  <c r="Q152" i="53"/>
  <c r="Q152" i="52"/>
  <c r="Q152" i="51"/>
  <c r="Q152" i="50"/>
  <c r="Q152" i="47"/>
  <c r="Q152" i="49"/>
  <c r="Q152" i="48"/>
  <c r="Q152" i="46"/>
  <c r="Q152" i="45"/>
  <c r="Q152" i="44"/>
  <c r="Q152" i="43"/>
  <c r="Q152" i="41"/>
  <c r="Q152" i="37"/>
  <c r="Q152" i="40"/>
  <c r="Q152" i="39"/>
  <c r="Q152" i="38"/>
  <c r="Q146" i="17"/>
  <c r="Q146" i="55"/>
  <c r="Q146" i="54"/>
  <c r="Q146" i="53"/>
  <c r="Q146" i="52"/>
  <c r="Q146" i="51"/>
  <c r="Q146" i="50"/>
  <c r="Q146" i="49"/>
  <c r="Q146" i="48"/>
  <c r="Q146" i="47"/>
  <c r="Q146" i="46"/>
  <c r="Q146" i="45"/>
  <c r="Q146" i="44"/>
  <c r="Q146" i="43"/>
  <c r="Q146" i="38"/>
  <c r="Q146" i="37"/>
  <c r="Q146" i="41"/>
  <c r="Q146" i="40"/>
  <c r="Q146" i="39"/>
  <c r="Q169" i="17"/>
  <c r="Q169" i="48"/>
  <c r="Q169" i="47"/>
  <c r="Q169" i="46"/>
  <c r="Q169" i="49"/>
  <c r="Q169" i="55"/>
  <c r="Q169" i="53"/>
  <c r="Q169" i="51"/>
  <c r="Q169" i="54"/>
  <c r="Q169" i="52"/>
  <c r="Q169" i="50"/>
  <c r="Q169" i="45"/>
  <c r="Q169" i="44"/>
  <c r="Q169" i="43"/>
  <c r="Q169" i="41"/>
  <c r="Q169" i="40"/>
  <c r="Q169" i="39"/>
  <c r="Q169" i="38"/>
  <c r="Q169" i="37"/>
  <c r="Q189" i="17"/>
  <c r="Q189" i="55"/>
  <c r="Q189" i="54"/>
  <c r="Q189" i="53"/>
  <c r="Q189" i="52"/>
  <c r="Q189" i="51"/>
  <c r="Q189" i="50"/>
  <c r="Q189" i="49"/>
  <c r="Q189" i="48"/>
  <c r="Q189" i="47"/>
  <c r="Q189" i="46"/>
  <c r="Q189" i="45"/>
  <c r="Q189" i="43"/>
  <c r="Q189" i="40"/>
  <c r="Q189" i="39"/>
  <c r="Q189" i="37"/>
  <c r="Q189" i="38"/>
  <c r="Q189" i="41"/>
  <c r="Q189" i="44"/>
  <c r="Q190" i="17"/>
  <c r="Q190" i="48"/>
  <c r="Q190" i="55"/>
  <c r="Q190" i="53"/>
  <c r="Q190" i="51"/>
  <c r="Q190" i="49"/>
  <c r="Q190" i="54"/>
  <c r="Q190" i="52"/>
  <c r="Q190" i="50"/>
  <c r="Q190" i="45"/>
  <c r="Q190" i="44"/>
  <c r="Q190" i="43"/>
  <c r="Q190" i="47"/>
  <c r="Q190" i="46"/>
  <c r="Q190" i="39"/>
  <c r="Q190" i="38"/>
  <c r="Q190" i="37"/>
  <c r="Q190" i="40"/>
  <c r="Q190" i="41"/>
  <c r="Q159" i="17"/>
  <c r="Q159" i="55"/>
  <c r="Q159" i="53"/>
  <c r="Q159" i="51"/>
  <c r="Q159" i="48"/>
  <c r="Q159" i="47"/>
  <c r="Q159" i="49"/>
  <c r="Q159" i="45"/>
  <c r="Q159" i="44"/>
  <c r="Q159" i="43"/>
  <c r="Q159" i="41"/>
  <c r="Q159" i="50"/>
  <c r="Q159" i="52"/>
  <c r="Q159" i="54"/>
  <c r="Q159" i="46"/>
  <c r="Q159" i="40"/>
  <c r="Q159" i="39"/>
  <c r="Q159" i="38"/>
  <c r="Q159" i="37"/>
  <c r="Q171" i="17"/>
  <c r="Q171" i="49"/>
  <c r="Q171" i="55"/>
  <c r="Q171" i="53"/>
  <c r="Q171" i="51"/>
  <c r="Q171" i="54"/>
  <c r="Q171" i="52"/>
  <c r="Q171" i="50"/>
  <c r="Q171" i="48"/>
  <c r="Q171" i="46"/>
  <c r="Q171" i="45"/>
  <c r="Q171" i="44"/>
  <c r="Q171" i="43"/>
  <c r="Q171" i="41"/>
  <c r="Q171" i="47"/>
  <c r="Q171" i="37"/>
  <c r="Q171" i="40"/>
  <c r="Q171" i="39"/>
  <c r="Q171" i="38"/>
  <c r="Q182" i="17"/>
  <c r="Q182" i="54"/>
  <c r="Q182" i="52"/>
  <c r="Q182" i="50"/>
  <c r="Q182" i="49"/>
  <c r="Q182" i="55"/>
  <c r="Q182" i="53"/>
  <c r="Q182" i="51"/>
  <c r="Q182" i="45"/>
  <c r="Q182" i="44"/>
  <c r="Q182" i="43"/>
  <c r="Q182" i="48"/>
  <c r="Q182" i="46"/>
  <c r="Q182" i="39"/>
  <c r="Q182" i="38"/>
  <c r="Q182" i="37"/>
  <c r="Q182" i="40"/>
  <c r="Q182" i="41"/>
  <c r="Q182" i="47"/>
  <c r="Q151" i="17"/>
  <c r="Q151" i="54"/>
  <c r="Q151" i="52"/>
  <c r="Q151" i="50"/>
  <c r="Q151" i="49"/>
  <c r="Q151" i="48"/>
  <c r="Q151" i="47"/>
  <c r="Q151" i="55"/>
  <c r="Q151" i="53"/>
  <c r="Q151" i="51"/>
  <c r="Q151" i="46"/>
  <c r="Q151" i="45"/>
  <c r="Q151" i="44"/>
  <c r="Q151" i="43"/>
  <c r="Q151" i="41"/>
  <c r="Q151" i="40"/>
  <c r="Q151" i="39"/>
  <c r="Q151" i="38"/>
  <c r="Q151" i="37"/>
  <c r="Q188" i="17"/>
  <c r="Q188" i="48"/>
  <c r="Q188" i="47"/>
  <c r="Q188" i="55"/>
  <c r="Q188" i="53"/>
  <c r="Q188" i="51"/>
  <c r="Q188" i="54"/>
  <c r="Q188" i="52"/>
  <c r="Q188" i="49"/>
  <c r="Q188" i="45"/>
  <c r="Q188" i="44"/>
  <c r="Q188" i="43"/>
  <c r="Q188" i="41"/>
  <c r="Q188" i="50"/>
  <c r="Q188" i="46"/>
  <c r="Q188" i="39"/>
  <c r="Q188" i="38"/>
  <c r="Q188" i="37"/>
  <c r="Q188" i="40"/>
  <c r="Q175" i="17"/>
  <c r="Q175" i="48"/>
  <c r="Q175" i="47"/>
  <c r="Q175" i="54"/>
  <c r="Q175" i="52"/>
  <c r="Q175" i="50"/>
  <c r="Q175" i="55"/>
  <c r="Q175" i="53"/>
  <c r="Q175" i="51"/>
  <c r="Q175" i="49"/>
  <c r="Q175" i="46"/>
  <c r="Q175" i="45"/>
  <c r="Q175" i="44"/>
  <c r="Q175" i="43"/>
  <c r="Q175" i="41"/>
  <c r="Q175" i="40"/>
  <c r="Q175" i="39"/>
  <c r="Q175" i="38"/>
  <c r="Q175" i="37"/>
  <c r="Q163" i="17"/>
  <c r="Q163" i="54"/>
  <c r="Q163" i="52"/>
  <c r="Q163" i="50"/>
  <c r="Q163" i="55"/>
  <c r="Q163" i="53"/>
  <c r="Q163" i="51"/>
  <c r="Q163" i="47"/>
  <c r="Q163" i="46"/>
  <c r="Q163" i="49"/>
  <c r="Q163" i="48"/>
  <c r="Q163" i="45"/>
  <c r="Q163" i="44"/>
  <c r="Q163" i="43"/>
  <c r="Q163" i="41"/>
  <c r="Q163" i="37"/>
  <c r="Q163" i="40"/>
  <c r="Q163" i="39"/>
  <c r="Q163" i="38"/>
  <c r="Q150" i="17"/>
  <c r="Q150" i="55"/>
  <c r="Q150" i="53"/>
  <c r="Q150" i="51"/>
  <c r="Q150" i="54"/>
  <c r="Q150" i="52"/>
  <c r="Q150" i="46"/>
  <c r="Q150" i="45"/>
  <c r="Q150" i="44"/>
  <c r="Q150" i="43"/>
  <c r="Q150" i="50"/>
  <c r="Q150" i="47"/>
  <c r="Q150" i="49"/>
  <c r="Q150" i="40"/>
  <c r="Q150" i="39"/>
  <c r="Q150" i="38"/>
  <c r="Q150" i="37"/>
  <c r="Q150" i="41"/>
  <c r="Q150" i="48"/>
  <c r="Q153" i="17"/>
  <c r="Q153" i="49"/>
  <c r="Q153" i="48"/>
  <c r="Q153" i="47"/>
  <c r="Q153" i="46"/>
  <c r="Q153" i="54"/>
  <c r="Q153" i="52"/>
  <c r="Q153" i="50"/>
  <c r="Q153" i="55"/>
  <c r="Q153" i="45"/>
  <c r="Q153" i="44"/>
  <c r="Q153" i="43"/>
  <c r="Q153" i="41"/>
  <c r="Q153" i="51"/>
  <c r="Q153" i="53"/>
  <c r="Q153" i="40"/>
  <c r="Q153" i="39"/>
  <c r="Q153" i="38"/>
  <c r="Q153" i="37"/>
  <c r="Q173" i="17"/>
  <c r="Q173" i="55"/>
  <c r="Q173" i="54"/>
  <c r="Q173" i="53"/>
  <c r="Q173" i="52"/>
  <c r="Q173" i="51"/>
  <c r="Q173" i="50"/>
  <c r="Q173" i="49"/>
  <c r="Q173" i="48"/>
  <c r="Q173" i="47"/>
  <c r="Q173" i="46"/>
  <c r="Q173" i="39"/>
  <c r="Q173" i="41"/>
  <c r="Q173" i="38"/>
  <c r="Q173" i="37"/>
  <c r="Q173" i="45"/>
  <c r="Q173" i="43"/>
  <c r="Q173" i="40"/>
  <c r="Q173" i="44"/>
  <c r="Q172" i="17"/>
  <c r="Q172" i="54"/>
  <c r="Q172" i="52"/>
  <c r="Q172" i="50"/>
  <c r="Q172" i="48"/>
  <c r="Q172" i="47"/>
  <c r="Q172" i="49"/>
  <c r="Q172" i="51"/>
  <c r="Q172" i="46"/>
  <c r="Q172" i="53"/>
  <c r="Q172" i="45"/>
  <c r="Q172" i="44"/>
  <c r="Q172" i="43"/>
  <c r="Q172" i="55"/>
  <c r="Q172" i="40"/>
  <c r="Q172" i="39"/>
  <c r="Q172" i="38"/>
  <c r="Q172" i="37"/>
  <c r="Q172" i="41"/>
  <c r="Q157" i="17"/>
  <c r="Q157" i="55"/>
  <c r="Q157" i="54"/>
  <c r="Q157" i="53"/>
  <c r="Q157" i="52"/>
  <c r="Q157" i="51"/>
  <c r="Q157" i="50"/>
  <c r="Q157" i="49"/>
  <c r="Q157" i="48"/>
  <c r="Q157" i="47"/>
  <c r="Q157" i="46"/>
  <c r="Q157" i="37"/>
  <c r="Q157" i="44"/>
  <c r="Q157" i="40"/>
  <c r="Q157" i="41"/>
  <c r="Q157" i="38"/>
  <c r="Q157" i="39"/>
  <c r="Q157" i="45"/>
  <c r="Q157" i="43"/>
  <c r="Q144" i="17"/>
  <c r="Q144" i="55"/>
  <c r="Q144" i="54"/>
  <c r="Q144" i="53"/>
  <c r="Q144" i="52"/>
  <c r="Q144" i="51"/>
  <c r="Q144" i="50"/>
  <c r="Q144" i="49"/>
  <c r="Q144" i="47"/>
  <c r="Q144" i="46"/>
  <c r="Q144" i="45"/>
  <c r="Q144" i="44"/>
  <c r="Q144" i="43"/>
  <c r="Q144" i="41"/>
  <c r="Q144" i="48"/>
  <c r="Q144" i="37"/>
  <c r="Q144" i="40"/>
  <c r="Q144" i="39"/>
  <c r="Q144" i="38"/>
  <c r="Q143" i="17"/>
  <c r="Q143" i="49"/>
  <c r="Q143" i="48"/>
  <c r="Q143" i="47"/>
  <c r="Q143" i="55"/>
  <c r="Q143" i="53"/>
  <c r="Q143" i="51"/>
  <c r="Q143" i="54"/>
  <c r="Q143" i="52"/>
  <c r="Q143" i="50"/>
  <c r="Q143" i="46"/>
  <c r="Q143" i="45"/>
  <c r="Q143" i="44"/>
  <c r="Q143" i="43"/>
  <c r="Q143" i="41"/>
  <c r="Q143" i="40"/>
  <c r="Q143" i="39"/>
  <c r="Q143" i="38"/>
  <c r="Q143" i="37"/>
  <c r="Q176" i="17"/>
  <c r="Q176" i="55"/>
  <c r="Q176" i="54"/>
  <c r="Q176" i="53"/>
  <c r="Q176" i="52"/>
  <c r="Q176" i="51"/>
  <c r="Q176" i="50"/>
  <c r="Q176" i="49"/>
  <c r="Q176" i="48"/>
  <c r="Q176" i="46"/>
  <c r="Q176" i="45"/>
  <c r="Q176" i="44"/>
  <c r="Q176" i="43"/>
  <c r="Q176" i="41"/>
  <c r="Q176" i="47"/>
  <c r="Q176" i="37"/>
  <c r="Q176" i="40"/>
  <c r="Q176" i="39"/>
  <c r="Q176" i="38"/>
  <c r="Q164" i="17"/>
  <c r="Q164" i="48"/>
  <c r="Q164" i="47"/>
  <c r="Q164" i="55"/>
  <c r="Q164" i="53"/>
  <c r="Q164" i="51"/>
  <c r="Q164" i="49"/>
  <c r="Q164" i="54"/>
  <c r="Q164" i="52"/>
  <c r="Q164" i="45"/>
  <c r="Q164" i="44"/>
  <c r="Q164" i="43"/>
  <c r="Q164" i="46"/>
  <c r="Q164" i="50"/>
  <c r="Q164" i="40"/>
  <c r="Q164" i="39"/>
  <c r="Q164" i="38"/>
  <c r="Q164" i="37"/>
  <c r="Q164" i="41"/>
  <c r="Q149" i="17"/>
  <c r="Q149" i="55"/>
  <c r="Q149" i="54"/>
  <c r="Q149" i="53"/>
  <c r="Q149" i="52"/>
  <c r="Q149" i="51"/>
  <c r="Q149" i="50"/>
  <c r="Q149" i="49"/>
  <c r="Q149" i="48"/>
  <c r="Q149" i="47"/>
  <c r="Q149" i="39"/>
  <c r="Q149" i="46"/>
  <c r="Q149" i="44"/>
  <c r="Q149" i="40"/>
  <c r="Q149" i="38"/>
  <c r="Q149" i="37"/>
  <c r="Q149" i="45"/>
  <c r="Q149" i="43"/>
  <c r="Q149" i="41"/>
  <c r="Q170" i="17"/>
  <c r="Q170" i="55"/>
  <c r="Q170" i="54"/>
  <c r="Q170" i="53"/>
  <c r="Q170" i="52"/>
  <c r="Q170" i="51"/>
  <c r="Q170" i="50"/>
  <c r="Q170" i="48"/>
  <c r="Q170" i="47"/>
  <c r="Q170" i="46"/>
  <c r="Q170" i="45"/>
  <c r="Q170" i="44"/>
  <c r="Q170" i="43"/>
  <c r="Q170" i="49"/>
  <c r="Q170" i="41"/>
  <c r="Q170" i="38"/>
  <c r="Q170" i="37"/>
  <c r="Q170" i="40"/>
  <c r="Q170" i="39"/>
  <c r="Q187" i="17"/>
  <c r="Q187" i="55"/>
  <c r="Q187" i="53"/>
  <c r="Q187" i="51"/>
  <c r="Q187" i="49"/>
  <c r="Q187" i="54"/>
  <c r="Q187" i="52"/>
  <c r="Q187" i="50"/>
  <c r="Q187" i="48"/>
  <c r="Q187" i="46"/>
  <c r="Q187" i="47"/>
  <c r="Q187" i="45"/>
  <c r="Q187" i="44"/>
  <c r="Q187" i="43"/>
  <c r="Q187" i="41"/>
  <c r="Q187" i="40"/>
  <c r="Q187" i="39"/>
  <c r="Q187" i="38"/>
  <c r="Q187" i="37"/>
  <c r="Q174" i="17"/>
  <c r="Q174" i="54"/>
  <c r="Q174" i="52"/>
  <c r="Q174" i="50"/>
  <c r="Q174" i="49"/>
  <c r="Q174" i="55"/>
  <c r="Q174" i="53"/>
  <c r="Q174" i="51"/>
  <c r="Q174" i="47"/>
  <c r="Q174" i="46"/>
  <c r="Q174" i="45"/>
  <c r="Q174" i="44"/>
  <c r="Q174" i="43"/>
  <c r="Q174" i="48"/>
  <c r="Q174" i="40"/>
  <c r="Q174" i="39"/>
  <c r="Q174" i="38"/>
  <c r="Q174" i="37"/>
  <c r="Q174" i="41"/>
  <c r="Q160" i="17"/>
  <c r="Q160" i="55"/>
  <c r="Q160" i="54"/>
  <c r="Q160" i="53"/>
  <c r="Q160" i="52"/>
  <c r="Q160" i="51"/>
  <c r="Q160" i="50"/>
  <c r="Q160" i="46"/>
  <c r="Q160" i="49"/>
  <c r="Q160" i="48"/>
  <c r="Q160" i="45"/>
  <c r="Q160" i="44"/>
  <c r="Q160" i="43"/>
  <c r="Q160" i="41"/>
  <c r="Q160" i="37"/>
  <c r="Q160" i="40"/>
  <c r="Q160" i="39"/>
  <c r="Q160" i="38"/>
  <c r="Q160" i="47"/>
  <c r="Q148" i="17"/>
  <c r="Q148" i="54"/>
  <c r="Q148" i="52"/>
  <c r="Q148" i="50"/>
  <c r="Q148" i="49"/>
  <c r="Q148" i="48"/>
  <c r="Q148" i="47"/>
  <c r="Q148" i="55"/>
  <c r="Q148" i="53"/>
  <c r="Q148" i="51"/>
  <c r="Q148" i="46"/>
  <c r="Q148" i="45"/>
  <c r="Q148" i="44"/>
  <c r="Q148" i="43"/>
  <c r="Q148" i="40"/>
  <c r="Q148" i="39"/>
  <c r="Q148" i="38"/>
  <c r="Q148" i="37"/>
  <c r="Q148" i="41"/>
  <c r="Q154" i="17"/>
  <c r="Q154" i="55"/>
  <c r="Q154" i="54"/>
  <c r="Q154" i="53"/>
  <c r="Q154" i="52"/>
  <c r="Q154" i="51"/>
  <c r="Q154" i="50"/>
  <c r="Q154" i="49"/>
  <c r="Q154" i="48"/>
  <c r="Q154" i="47"/>
  <c r="Q154" i="45"/>
  <c r="Q154" i="44"/>
  <c r="Q154" i="43"/>
  <c r="Q154" i="41"/>
  <c r="Q154" i="38"/>
  <c r="Q154" i="37"/>
  <c r="Q154" i="40"/>
  <c r="Q154" i="39"/>
  <c r="Q154" i="46"/>
  <c r="Q177" i="17"/>
  <c r="Q177" i="48"/>
  <c r="Q177" i="47"/>
  <c r="Q177" i="46"/>
  <c r="Q177" i="54"/>
  <c r="Q177" i="52"/>
  <c r="Q177" i="50"/>
  <c r="Q177" i="49"/>
  <c r="Q177" i="55"/>
  <c r="Q177" i="53"/>
  <c r="Q177" i="51"/>
  <c r="Q177" i="45"/>
  <c r="Q177" i="44"/>
  <c r="Q177" i="43"/>
  <c r="Q177" i="41"/>
  <c r="Q177" i="40"/>
  <c r="Q177" i="39"/>
  <c r="Q177" i="38"/>
  <c r="Q177" i="37"/>
  <c r="M23" i="62"/>
  <c r="M21" i="62"/>
  <c r="M18" i="62"/>
  <c r="M16" i="62"/>
  <c r="M15" i="62"/>
  <c r="M12" i="62"/>
  <c r="M11" i="62"/>
  <c r="M10" i="62"/>
  <c r="M22" i="62"/>
  <c r="N10" i="63" l="1"/>
  <c r="O27" i="58" l="1"/>
  <c r="P27" i="58" s="1"/>
  <c r="Q27" i="58" s="1"/>
  <c r="O26" i="58"/>
  <c r="P26" i="58" s="1"/>
  <c r="Q26" i="58" s="1"/>
  <c r="O25" i="58"/>
  <c r="P25" i="58" s="1"/>
  <c r="Q25" i="58" s="1"/>
  <c r="O24" i="58"/>
  <c r="P24" i="58" s="1"/>
  <c r="Q24" i="58" s="1"/>
  <c r="O23" i="58"/>
  <c r="P23" i="58" s="1"/>
  <c r="Q23" i="58" s="1"/>
  <c r="O22" i="58"/>
  <c r="P22" i="58" s="1"/>
  <c r="Q22" i="58" s="1"/>
  <c r="O21" i="58"/>
  <c r="P21" i="58" s="1"/>
  <c r="Q21" i="58" s="1"/>
  <c r="O20" i="58"/>
  <c r="P20" i="58" s="1"/>
  <c r="Q20" i="58" s="1"/>
  <c r="O19" i="58"/>
  <c r="P19" i="58" s="1"/>
  <c r="Q19" i="58" s="1"/>
  <c r="O18" i="58"/>
  <c r="P18" i="58" s="1"/>
  <c r="Q18" i="58" s="1"/>
  <c r="O17" i="58"/>
  <c r="P17" i="58" s="1"/>
  <c r="Q17" i="58" s="1"/>
  <c r="O16" i="58"/>
  <c r="P16" i="58" s="1"/>
  <c r="Q16" i="58" s="1"/>
  <c r="O15" i="58"/>
  <c r="P15" i="58" s="1"/>
  <c r="Q15" i="58" s="1"/>
  <c r="O14" i="58"/>
  <c r="P14" i="58" s="1"/>
  <c r="Q14" i="58" s="1"/>
  <c r="O13" i="58"/>
  <c r="P13" i="58" s="1"/>
  <c r="Q13" i="58" s="1"/>
  <c r="O12" i="58"/>
  <c r="P12" i="58" s="1"/>
  <c r="Q12" i="58" s="1"/>
  <c r="O11" i="58"/>
  <c r="P11" i="58" s="1"/>
  <c r="Q11" i="58" s="1"/>
  <c r="O10" i="58"/>
  <c r="P10" i="58" s="1"/>
  <c r="Q10" i="58" s="1"/>
  <c r="O9" i="58"/>
  <c r="P9" i="58" s="1"/>
  <c r="Q9" i="58" s="1"/>
  <c r="O8" i="58"/>
  <c r="P8" i="58" l="1"/>
  <c r="Q8" i="58" s="1"/>
  <c r="D4" i="64"/>
  <c r="C4" i="64"/>
  <c r="B4" i="64"/>
  <c r="O486" i="55" l="1"/>
  <c r="N486" i="55"/>
  <c r="M486" i="55"/>
  <c r="O485" i="55"/>
  <c r="N485" i="55"/>
  <c r="M485" i="55"/>
  <c r="O484" i="55"/>
  <c r="N484" i="55"/>
  <c r="M484" i="55"/>
  <c r="O483" i="55"/>
  <c r="N483" i="55"/>
  <c r="M483" i="55"/>
  <c r="O482" i="55"/>
  <c r="N482" i="55"/>
  <c r="M482" i="55"/>
  <c r="J486" i="55"/>
  <c r="I486" i="55"/>
  <c r="H486" i="55"/>
  <c r="J485" i="55"/>
  <c r="I485" i="55"/>
  <c r="H485" i="55"/>
  <c r="J484" i="55"/>
  <c r="I484" i="55"/>
  <c r="H484" i="55"/>
  <c r="J483" i="55"/>
  <c r="I483" i="55"/>
  <c r="H483" i="55"/>
  <c r="J482" i="55"/>
  <c r="I482" i="55"/>
  <c r="H482" i="55"/>
  <c r="O486" i="54"/>
  <c r="N486" i="54"/>
  <c r="M486" i="54"/>
  <c r="O485" i="54"/>
  <c r="N485" i="54"/>
  <c r="M485" i="54"/>
  <c r="O484" i="54"/>
  <c r="N484" i="54"/>
  <c r="M484" i="54"/>
  <c r="O483" i="54"/>
  <c r="N483" i="54"/>
  <c r="M483" i="54"/>
  <c r="O482" i="54"/>
  <c r="N482" i="54"/>
  <c r="M482" i="54"/>
  <c r="J486" i="54"/>
  <c r="I486" i="54"/>
  <c r="H486" i="54"/>
  <c r="J485" i="54"/>
  <c r="I485" i="54"/>
  <c r="H485" i="54"/>
  <c r="J484" i="54"/>
  <c r="I484" i="54"/>
  <c r="H484" i="54"/>
  <c r="J483" i="54"/>
  <c r="I483" i="54"/>
  <c r="H483" i="54"/>
  <c r="J482" i="54"/>
  <c r="I482" i="54"/>
  <c r="H482" i="54"/>
  <c r="O486" i="53"/>
  <c r="N486" i="53"/>
  <c r="M486" i="53"/>
  <c r="O485" i="53"/>
  <c r="N485" i="53"/>
  <c r="M485" i="53"/>
  <c r="O484" i="53"/>
  <c r="N484" i="53"/>
  <c r="M484" i="53"/>
  <c r="O483" i="53"/>
  <c r="N483" i="53"/>
  <c r="M483" i="53"/>
  <c r="O482" i="53"/>
  <c r="N482" i="53"/>
  <c r="M482" i="53"/>
  <c r="J486" i="53"/>
  <c r="I486" i="53"/>
  <c r="H486" i="53"/>
  <c r="J485" i="53"/>
  <c r="I485" i="53"/>
  <c r="H485" i="53"/>
  <c r="J484" i="53"/>
  <c r="I484" i="53"/>
  <c r="H484" i="53"/>
  <c r="J483" i="53"/>
  <c r="I483" i="53"/>
  <c r="H483" i="53"/>
  <c r="J482" i="53"/>
  <c r="I482" i="53"/>
  <c r="H482" i="53"/>
  <c r="O486" i="52"/>
  <c r="N486" i="52"/>
  <c r="M486" i="52"/>
  <c r="O485" i="52"/>
  <c r="N485" i="52"/>
  <c r="M485" i="52"/>
  <c r="O484" i="52"/>
  <c r="N484" i="52"/>
  <c r="M484" i="52"/>
  <c r="O483" i="52"/>
  <c r="N483" i="52"/>
  <c r="M483" i="52"/>
  <c r="O482" i="52"/>
  <c r="N482" i="52"/>
  <c r="M482" i="52"/>
  <c r="J486" i="52"/>
  <c r="I486" i="52"/>
  <c r="H486" i="52"/>
  <c r="J485" i="52"/>
  <c r="I485" i="52"/>
  <c r="H485" i="52"/>
  <c r="J484" i="52"/>
  <c r="I484" i="52"/>
  <c r="H484" i="52"/>
  <c r="J483" i="52"/>
  <c r="I483" i="52"/>
  <c r="H483" i="52"/>
  <c r="J482" i="52"/>
  <c r="I482" i="52"/>
  <c r="H482" i="52"/>
  <c r="O486" i="51"/>
  <c r="N486" i="51"/>
  <c r="M486" i="51"/>
  <c r="O485" i="51"/>
  <c r="N485" i="51"/>
  <c r="M485" i="51"/>
  <c r="O484" i="51"/>
  <c r="N484" i="51"/>
  <c r="M484" i="51"/>
  <c r="O483" i="51"/>
  <c r="N483" i="51"/>
  <c r="M483" i="51"/>
  <c r="O482" i="51"/>
  <c r="N482" i="51"/>
  <c r="M482" i="51"/>
  <c r="J486" i="51"/>
  <c r="I486" i="51"/>
  <c r="H486" i="51"/>
  <c r="J485" i="51"/>
  <c r="I485" i="51"/>
  <c r="H485" i="51"/>
  <c r="J484" i="51"/>
  <c r="I484" i="51"/>
  <c r="H484" i="51"/>
  <c r="J483" i="51"/>
  <c r="I483" i="51"/>
  <c r="H483" i="51"/>
  <c r="J482" i="51"/>
  <c r="I482" i="51"/>
  <c r="H482" i="51"/>
  <c r="O486" i="50"/>
  <c r="N486" i="50"/>
  <c r="M486" i="50"/>
  <c r="O485" i="50"/>
  <c r="N485" i="50"/>
  <c r="M485" i="50"/>
  <c r="O484" i="50"/>
  <c r="N484" i="50"/>
  <c r="M484" i="50"/>
  <c r="O483" i="50"/>
  <c r="N483" i="50"/>
  <c r="M483" i="50"/>
  <c r="O482" i="50"/>
  <c r="N482" i="50"/>
  <c r="M482" i="50"/>
  <c r="J486" i="50"/>
  <c r="I486" i="50"/>
  <c r="H486" i="50"/>
  <c r="J485" i="50"/>
  <c r="I485" i="50"/>
  <c r="H485" i="50"/>
  <c r="J484" i="50"/>
  <c r="I484" i="50"/>
  <c r="H484" i="50"/>
  <c r="J483" i="50"/>
  <c r="I483" i="50"/>
  <c r="H483" i="50"/>
  <c r="J482" i="50"/>
  <c r="I482" i="50"/>
  <c r="H482" i="50"/>
  <c r="O486" i="49"/>
  <c r="N486" i="49"/>
  <c r="M486" i="49"/>
  <c r="O485" i="49"/>
  <c r="N485" i="49"/>
  <c r="M485" i="49"/>
  <c r="O484" i="49"/>
  <c r="N484" i="49"/>
  <c r="M484" i="49"/>
  <c r="O483" i="49"/>
  <c r="N483" i="49"/>
  <c r="M483" i="49"/>
  <c r="O482" i="49"/>
  <c r="N482" i="49"/>
  <c r="M482" i="49"/>
  <c r="J486" i="49"/>
  <c r="I486" i="49"/>
  <c r="H486" i="49"/>
  <c r="J485" i="49"/>
  <c r="I485" i="49"/>
  <c r="H485" i="49"/>
  <c r="J484" i="49"/>
  <c r="I484" i="49"/>
  <c r="H484" i="49"/>
  <c r="J483" i="49"/>
  <c r="I483" i="49"/>
  <c r="H483" i="49"/>
  <c r="J482" i="49"/>
  <c r="I482" i="49"/>
  <c r="H482" i="49"/>
  <c r="O486" i="48"/>
  <c r="N486" i="48"/>
  <c r="M486" i="48"/>
  <c r="O485" i="48"/>
  <c r="N485" i="48"/>
  <c r="M485" i="48"/>
  <c r="O484" i="48"/>
  <c r="N484" i="48"/>
  <c r="M484" i="48"/>
  <c r="O483" i="48"/>
  <c r="N483" i="48"/>
  <c r="M483" i="48"/>
  <c r="O482" i="48"/>
  <c r="N482" i="48"/>
  <c r="M482" i="48"/>
  <c r="J486" i="48"/>
  <c r="I486" i="48"/>
  <c r="H486" i="48"/>
  <c r="J485" i="48"/>
  <c r="I485" i="48"/>
  <c r="H485" i="48"/>
  <c r="J484" i="48"/>
  <c r="I484" i="48"/>
  <c r="H484" i="48"/>
  <c r="J483" i="48"/>
  <c r="I483" i="48"/>
  <c r="H483" i="48"/>
  <c r="J482" i="48"/>
  <c r="I482" i="48"/>
  <c r="H482" i="48"/>
  <c r="O486" i="47"/>
  <c r="N486" i="47"/>
  <c r="M486" i="47"/>
  <c r="O485" i="47"/>
  <c r="N485" i="47"/>
  <c r="M485" i="47"/>
  <c r="O484" i="47"/>
  <c r="N484" i="47"/>
  <c r="M484" i="47"/>
  <c r="O483" i="47"/>
  <c r="N483" i="47"/>
  <c r="M483" i="47"/>
  <c r="O482" i="47"/>
  <c r="N482" i="47"/>
  <c r="M482" i="47"/>
  <c r="J486" i="47"/>
  <c r="I486" i="47"/>
  <c r="H486" i="47"/>
  <c r="J485" i="47"/>
  <c r="I485" i="47"/>
  <c r="H485" i="47"/>
  <c r="J484" i="47"/>
  <c r="I484" i="47"/>
  <c r="H484" i="47"/>
  <c r="J483" i="47"/>
  <c r="I483" i="47"/>
  <c r="H483" i="47"/>
  <c r="J482" i="47"/>
  <c r="I482" i="47"/>
  <c r="H482" i="47"/>
  <c r="O486" i="46"/>
  <c r="N486" i="46"/>
  <c r="M486" i="46"/>
  <c r="O485" i="46"/>
  <c r="N485" i="46"/>
  <c r="M485" i="46"/>
  <c r="O484" i="46"/>
  <c r="N484" i="46"/>
  <c r="M484" i="46"/>
  <c r="O483" i="46"/>
  <c r="N483" i="46"/>
  <c r="M483" i="46"/>
  <c r="O482" i="46"/>
  <c r="N482" i="46"/>
  <c r="M482" i="46"/>
  <c r="J486" i="46"/>
  <c r="I486" i="46"/>
  <c r="H486" i="46"/>
  <c r="J485" i="46"/>
  <c r="I485" i="46"/>
  <c r="H485" i="46"/>
  <c r="J484" i="46"/>
  <c r="I484" i="46"/>
  <c r="H484" i="46"/>
  <c r="J483" i="46"/>
  <c r="I483" i="46"/>
  <c r="H483" i="46"/>
  <c r="J482" i="46"/>
  <c r="I482" i="46"/>
  <c r="H482" i="46"/>
  <c r="O486" i="45"/>
  <c r="N486" i="45"/>
  <c r="M486" i="45"/>
  <c r="O485" i="45"/>
  <c r="N485" i="45"/>
  <c r="M485" i="45"/>
  <c r="O484" i="45"/>
  <c r="N484" i="45"/>
  <c r="M484" i="45"/>
  <c r="O483" i="45"/>
  <c r="N483" i="45"/>
  <c r="M483" i="45"/>
  <c r="O482" i="45"/>
  <c r="N482" i="45"/>
  <c r="M482" i="45"/>
  <c r="J486" i="45"/>
  <c r="I486" i="45"/>
  <c r="H486" i="45"/>
  <c r="J485" i="45"/>
  <c r="I485" i="45"/>
  <c r="H485" i="45"/>
  <c r="J484" i="45"/>
  <c r="I484" i="45"/>
  <c r="H484" i="45"/>
  <c r="J483" i="45"/>
  <c r="I483" i="45"/>
  <c r="H483" i="45"/>
  <c r="J482" i="45"/>
  <c r="I482" i="45"/>
  <c r="H482" i="45"/>
  <c r="O486" i="44"/>
  <c r="N486" i="44"/>
  <c r="M486" i="44"/>
  <c r="O485" i="44"/>
  <c r="N485" i="44"/>
  <c r="M485" i="44"/>
  <c r="O484" i="44"/>
  <c r="N484" i="44"/>
  <c r="M484" i="44"/>
  <c r="O483" i="44"/>
  <c r="N483" i="44"/>
  <c r="M483" i="44"/>
  <c r="O482" i="44"/>
  <c r="N482" i="44"/>
  <c r="M482" i="44"/>
  <c r="J486" i="44"/>
  <c r="I486" i="44"/>
  <c r="H486" i="44"/>
  <c r="J485" i="44"/>
  <c r="I485" i="44"/>
  <c r="H485" i="44"/>
  <c r="J484" i="44"/>
  <c r="I484" i="44"/>
  <c r="H484" i="44"/>
  <c r="J483" i="44"/>
  <c r="I483" i="44"/>
  <c r="H483" i="44"/>
  <c r="J482" i="44"/>
  <c r="I482" i="44"/>
  <c r="H482" i="44"/>
  <c r="O486" i="43"/>
  <c r="N486" i="43"/>
  <c r="M486" i="43"/>
  <c r="O485" i="43"/>
  <c r="N485" i="43"/>
  <c r="M485" i="43"/>
  <c r="O484" i="43"/>
  <c r="N484" i="43"/>
  <c r="M484" i="43"/>
  <c r="O483" i="43"/>
  <c r="N483" i="43"/>
  <c r="M483" i="43"/>
  <c r="O482" i="43"/>
  <c r="N482" i="43"/>
  <c r="M482" i="43"/>
  <c r="J486" i="43"/>
  <c r="I486" i="43"/>
  <c r="H486" i="43"/>
  <c r="J485" i="43"/>
  <c r="I485" i="43"/>
  <c r="H485" i="43"/>
  <c r="J484" i="43"/>
  <c r="I484" i="43"/>
  <c r="H484" i="43"/>
  <c r="J483" i="43"/>
  <c r="I483" i="43"/>
  <c r="H483" i="43"/>
  <c r="J482" i="43"/>
  <c r="I482" i="43"/>
  <c r="H482" i="43"/>
  <c r="O486" i="42"/>
  <c r="N486" i="42"/>
  <c r="M486" i="42"/>
  <c r="O485" i="42"/>
  <c r="N485" i="42"/>
  <c r="M485" i="42"/>
  <c r="O484" i="42"/>
  <c r="N484" i="42"/>
  <c r="M484" i="42"/>
  <c r="O483" i="42"/>
  <c r="N483" i="42"/>
  <c r="M483" i="42"/>
  <c r="O482" i="42"/>
  <c r="N482" i="42"/>
  <c r="M482" i="42"/>
  <c r="J486" i="42"/>
  <c r="I486" i="42"/>
  <c r="H486" i="42"/>
  <c r="J485" i="42"/>
  <c r="I485" i="42"/>
  <c r="H485" i="42"/>
  <c r="J484" i="42"/>
  <c r="I484" i="42"/>
  <c r="H484" i="42"/>
  <c r="J483" i="42"/>
  <c r="I483" i="42"/>
  <c r="H483" i="42"/>
  <c r="J482" i="42"/>
  <c r="I482" i="42"/>
  <c r="H482" i="42"/>
  <c r="O486" i="41"/>
  <c r="N486" i="41"/>
  <c r="M486" i="41"/>
  <c r="O485" i="41"/>
  <c r="N485" i="41"/>
  <c r="M485" i="41"/>
  <c r="O484" i="41"/>
  <c r="N484" i="41"/>
  <c r="M484" i="41"/>
  <c r="O483" i="41"/>
  <c r="N483" i="41"/>
  <c r="M483" i="41"/>
  <c r="O482" i="41"/>
  <c r="N482" i="41"/>
  <c r="M482" i="41"/>
  <c r="J486" i="41"/>
  <c r="I486" i="41"/>
  <c r="H486" i="41"/>
  <c r="J485" i="41"/>
  <c r="I485" i="41"/>
  <c r="H485" i="41"/>
  <c r="J484" i="41"/>
  <c r="I484" i="41"/>
  <c r="H484" i="41"/>
  <c r="J483" i="41"/>
  <c r="I483" i="41"/>
  <c r="H483" i="41"/>
  <c r="J482" i="41"/>
  <c r="I482" i="41"/>
  <c r="H482" i="41"/>
  <c r="O486" i="40"/>
  <c r="N486" i="40"/>
  <c r="M486" i="40"/>
  <c r="O485" i="40"/>
  <c r="N485" i="40"/>
  <c r="M485" i="40"/>
  <c r="O484" i="40"/>
  <c r="N484" i="40"/>
  <c r="M484" i="40"/>
  <c r="O483" i="40"/>
  <c r="N483" i="40"/>
  <c r="M483" i="40"/>
  <c r="O482" i="40"/>
  <c r="N482" i="40"/>
  <c r="M482" i="40"/>
  <c r="J486" i="40"/>
  <c r="I486" i="40"/>
  <c r="H486" i="40"/>
  <c r="J485" i="40"/>
  <c r="I485" i="40"/>
  <c r="H485" i="40"/>
  <c r="J484" i="40"/>
  <c r="I484" i="40"/>
  <c r="H484" i="40"/>
  <c r="J483" i="40"/>
  <c r="I483" i="40"/>
  <c r="H483" i="40"/>
  <c r="J482" i="40"/>
  <c r="I482" i="40"/>
  <c r="H482" i="40"/>
  <c r="O486" i="39"/>
  <c r="N486" i="39"/>
  <c r="M486" i="39"/>
  <c r="O485" i="39"/>
  <c r="N485" i="39"/>
  <c r="M485" i="39"/>
  <c r="O484" i="39"/>
  <c r="N484" i="39"/>
  <c r="M484" i="39"/>
  <c r="O483" i="39"/>
  <c r="N483" i="39"/>
  <c r="M483" i="39"/>
  <c r="O482" i="39"/>
  <c r="N482" i="39"/>
  <c r="M482" i="39"/>
  <c r="J486" i="39"/>
  <c r="I486" i="39"/>
  <c r="H486" i="39"/>
  <c r="J485" i="39"/>
  <c r="I485" i="39"/>
  <c r="H485" i="39"/>
  <c r="J484" i="39"/>
  <c r="I484" i="39"/>
  <c r="H484" i="39"/>
  <c r="J483" i="39"/>
  <c r="I483" i="39"/>
  <c r="H483" i="39"/>
  <c r="J482" i="39"/>
  <c r="I482" i="39"/>
  <c r="H482" i="39"/>
  <c r="O486" i="38"/>
  <c r="N486" i="38"/>
  <c r="M486" i="38"/>
  <c r="O485" i="38"/>
  <c r="N485" i="38"/>
  <c r="M485" i="38"/>
  <c r="O484" i="38"/>
  <c r="N484" i="38"/>
  <c r="M484" i="38"/>
  <c r="O483" i="38"/>
  <c r="N483" i="38"/>
  <c r="M483" i="38"/>
  <c r="O482" i="38"/>
  <c r="N482" i="38"/>
  <c r="M482" i="38"/>
  <c r="J486" i="38"/>
  <c r="I486" i="38"/>
  <c r="H486" i="38"/>
  <c r="J485" i="38"/>
  <c r="I485" i="38"/>
  <c r="H485" i="38"/>
  <c r="J484" i="38"/>
  <c r="I484" i="38"/>
  <c r="H484" i="38"/>
  <c r="J483" i="38"/>
  <c r="I483" i="38"/>
  <c r="H483" i="38"/>
  <c r="J482" i="38"/>
  <c r="I482" i="38"/>
  <c r="H482" i="38"/>
  <c r="O486" i="37"/>
  <c r="N486" i="37"/>
  <c r="M486" i="37"/>
  <c r="O485" i="37"/>
  <c r="N485" i="37"/>
  <c r="M485" i="37"/>
  <c r="O484" i="37"/>
  <c r="N484" i="37"/>
  <c r="M484" i="37"/>
  <c r="O483" i="37"/>
  <c r="N483" i="37"/>
  <c r="M483" i="37"/>
  <c r="O482" i="37"/>
  <c r="N482" i="37"/>
  <c r="M482" i="37"/>
  <c r="J483" i="37"/>
  <c r="J484" i="37"/>
  <c r="J485" i="37"/>
  <c r="J486" i="37"/>
  <c r="I483" i="37"/>
  <c r="I484" i="37"/>
  <c r="I485" i="37"/>
  <c r="I486" i="37"/>
  <c r="I482" i="37"/>
  <c r="J482" i="37"/>
  <c r="H483" i="37"/>
  <c r="H484" i="37"/>
  <c r="H485" i="37"/>
  <c r="H486" i="37"/>
  <c r="H482" i="37"/>
  <c r="O468" i="55"/>
  <c r="N468" i="55"/>
  <c r="M468" i="55"/>
  <c r="J468" i="55"/>
  <c r="I468" i="55"/>
  <c r="H468" i="55"/>
  <c r="O467" i="55"/>
  <c r="N467" i="55"/>
  <c r="M467" i="55"/>
  <c r="J467" i="55"/>
  <c r="I467" i="55"/>
  <c r="H467" i="55"/>
  <c r="O466" i="55"/>
  <c r="N466" i="55"/>
  <c r="M466" i="55"/>
  <c r="J466" i="55"/>
  <c r="I466" i="55"/>
  <c r="H466" i="55"/>
  <c r="O465" i="55"/>
  <c r="N465" i="55"/>
  <c r="M465" i="55"/>
  <c r="J465" i="55"/>
  <c r="I465" i="55"/>
  <c r="H465" i="55"/>
  <c r="O464" i="55"/>
  <c r="N464" i="55"/>
  <c r="M464" i="55"/>
  <c r="J464" i="55"/>
  <c r="I464" i="55"/>
  <c r="H464" i="55"/>
  <c r="O468" i="54"/>
  <c r="N468" i="54"/>
  <c r="M468" i="54"/>
  <c r="J468" i="54"/>
  <c r="I468" i="54"/>
  <c r="H468" i="54"/>
  <c r="O467" i="54"/>
  <c r="N467" i="54"/>
  <c r="M467" i="54"/>
  <c r="J467" i="54"/>
  <c r="I467" i="54"/>
  <c r="H467" i="54"/>
  <c r="O466" i="54"/>
  <c r="N466" i="54"/>
  <c r="M466" i="54"/>
  <c r="J466" i="54"/>
  <c r="I466" i="54"/>
  <c r="H466" i="54"/>
  <c r="O465" i="54"/>
  <c r="N465" i="54"/>
  <c r="M465" i="54"/>
  <c r="J465" i="54"/>
  <c r="I465" i="54"/>
  <c r="H465" i="54"/>
  <c r="O464" i="54"/>
  <c r="N464" i="54"/>
  <c r="M464" i="54"/>
  <c r="J464" i="54"/>
  <c r="I464" i="54"/>
  <c r="H464" i="54"/>
  <c r="O468" i="53"/>
  <c r="N468" i="53"/>
  <c r="M468" i="53"/>
  <c r="J468" i="53"/>
  <c r="I468" i="53"/>
  <c r="H468" i="53"/>
  <c r="O467" i="53"/>
  <c r="N467" i="53"/>
  <c r="M467" i="53"/>
  <c r="J467" i="53"/>
  <c r="I467" i="53"/>
  <c r="H467" i="53"/>
  <c r="O466" i="53"/>
  <c r="N466" i="53"/>
  <c r="M466" i="53"/>
  <c r="J466" i="53"/>
  <c r="I466" i="53"/>
  <c r="H466" i="53"/>
  <c r="O465" i="53"/>
  <c r="N465" i="53"/>
  <c r="M465" i="53"/>
  <c r="J465" i="53"/>
  <c r="I465" i="53"/>
  <c r="H465" i="53"/>
  <c r="O464" i="53"/>
  <c r="N464" i="53"/>
  <c r="M464" i="53"/>
  <c r="J464" i="53"/>
  <c r="I464" i="53"/>
  <c r="H464" i="53"/>
  <c r="O468" i="52"/>
  <c r="N468" i="52"/>
  <c r="M468" i="52"/>
  <c r="J468" i="52"/>
  <c r="I468" i="52"/>
  <c r="H468" i="52"/>
  <c r="O467" i="52"/>
  <c r="N467" i="52"/>
  <c r="M467" i="52"/>
  <c r="J467" i="52"/>
  <c r="I467" i="52"/>
  <c r="H467" i="52"/>
  <c r="O466" i="52"/>
  <c r="N466" i="52"/>
  <c r="M466" i="52"/>
  <c r="J466" i="52"/>
  <c r="I466" i="52"/>
  <c r="H466" i="52"/>
  <c r="O465" i="52"/>
  <c r="N465" i="52"/>
  <c r="M465" i="52"/>
  <c r="J465" i="52"/>
  <c r="I465" i="52"/>
  <c r="H465" i="52"/>
  <c r="O464" i="52"/>
  <c r="N464" i="52"/>
  <c r="M464" i="52"/>
  <c r="J464" i="52"/>
  <c r="I464" i="52"/>
  <c r="H464" i="52"/>
  <c r="O468" i="51"/>
  <c r="N468" i="51"/>
  <c r="M468" i="51"/>
  <c r="J468" i="51"/>
  <c r="I468" i="51"/>
  <c r="H468" i="51"/>
  <c r="O467" i="51"/>
  <c r="N467" i="51"/>
  <c r="M467" i="51"/>
  <c r="J467" i="51"/>
  <c r="I467" i="51"/>
  <c r="H467" i="51"/>
  <c r="O466" i="51"/>
  <c r="N466" i="51"/>
  <c r="M466" i="51"/>
  <c r="J466" i="51"/>
  <c r="I466" i="51"/>
  <c r="H466" i="51"/>
  <c r="O465" i="51"/>
  <c r="N465" i="51"/>
  <c r="M465" i="51"/>
  <c r="J465" i="51"/>
  <c r="I465" i="51"/>
  <c r="H465" i="51"/>
  <c r="O464" i="51"/>
  <c r="N464" i="51"/>
  <c r="M464" i="51"/>
  <c r="J464" i="51"/>
  <c r="I464" i="51"/>
  <c r="H464" i="51"/>
  <c r="O468" i="50"/>
  <c r="N468" i="50"/>
  <c r="M468" i="50"/>
  <c r="J468" i="50"/>
  <c r="I468" i="50"/>
  <c r="H468" i="50"/>
  <c r="O467" i="50"/>
  <c r="N467" i="50"/>
  <c r="M467" i="50"/>
  <c r="J467" i="50"/>
  <c r="I467" i="50"/>
  <c r="H467" i="50"/>
  <c r="O466" i="50"/>
  <c r="N466" i="50"/>
  <c r="M466" i="50"/>
  <c r="J466" i="50"/>
  <c r="I466" i="50"/>
  <c r="H466" i="50"/>
  <c r="O465" i="50"/>
  <c r="N465" i="50"/>
  <c r="M465" i="50"/>
  <c r="J465" i="50"/>
  <c r="I465" i="50"/>
  <c r="H465" i="50"/>
  <c r="O464" i="50"/>
  <c r="N464" i="50"/>
  <c r="M464" i="50"/>
  <c r="J464" i="50"/>
  <c r="I464" i="50"/>
  <c r="H464" i="50"/>
  <c r="O468" i="49"/>
  <c r="N468" i="49"/>
  <c r="M468" i="49"/>
  <c r="J468" i="49"/>
  <c r="I468" i="49"/>
  <c r="H468" i="49"/>
  <c r="O467" i="49"/>
  <c r="N467" i="49"/>
  <c r="M467" i="49"/>
  <c r="J467" i="49"/>
  <c r="I467" i="49"/>
  <c r="H467" i="49"/>
  <c r="O466" i="49"/>
  <c r="N466" i="49"/>
  <c r="M466" i="49"/>
  <c r="J466" i="49"/>
  <c r="I466" i="49"/>
  <c r="H466" i="49"/>
  <c r="O465" i="49"/>
  <c r="N465" i="49"/>
  <c r="M465" i="49"/>
  <c r="J465" i="49"/>
  <c r="I465" i="49"/>
  <c r="H465" i="49"/>
  <c r="O464" i="49"/>
  <c r="N464" i="49"/>
  <c r="M464" i="49"/>
  <c r="J464" i="49"/>
  <c r="I464" i="49"/>
  <c r="H464" i="49"/>
  <c r="O468" i="48"/>
  <c r="N468" i="48"/>
  <c r="M468" i="48"/>
  <c r="J468" i="48"/>
  <c r="I468" i="48"/>
  <c r="H468" i="48"/>
  <c r="O467" i="48"/>
  <c r="N467" i="48"/>
  <c r="M467" i="48"/>
  <c r="J467" i="48"/>
  <c r="I467" i="48"/>
  <c r="H467" i="48"/>
  <c r="O466" i="48"/>
  <c r="N466" i="48"/>
  <c r="M466" i="48"/>
  <c r="J466" i="48"/>
  <c r="I466" i="48"/>
  <c r="H466" i="48"/>
  <c r="O465" i="48"/>
  <c r="N465" i="48"/>
  <c r="M465" i="48"/>
  <c r="J465" i="48"/>
  <c r="I465" i="48"/>
  <c r="H465" i="48"/>
  <c r="O464" i="48"/>
  <c r="N464" i="48"/>
  <c r="M464" i="48"/>
  <c r="J464" i="48"/>
  <c r="I464" i="48"/>
  <c r="H464" i="48"/>
  <c r="O468" i="47"/>
  <c r="N468" i="47"/>
  <c r="M468" i="47"/>
  <c r="J468" i="47"/>
  <c r="I468" i="47"/>
  <c r="H468" i="47"/>
  <c r="O467" i="47"/>
  <c r="N467" i="47"/>
  <c r="M467" i="47"/>
  <c r="J467" i="47"/>
  <c r="I467" i="47"/>
  <c r="H467" i="47"/>
  <c r="O466" i="47"/>
  <c r="N466" i="47"/>
  <c r="M466" i="47"/>
  <c r="J466" i="47"/>
  <c r="I466" i="47"/>
  <c r="H466" i="47"/>
  <c r="O465" i="47"/>
  <c r="N465" i="47"/>
  <c r="M465" i="47"/>
  <c r="J465" i="47"/>
  <c r="I465" i="47"/>
  <c r="H465" i="47"/>
  <c r="O464" i="47"/>
  <c r="N464" i="47"/>
  <c r="M464" i="47"/>
  <c r="J464" i="47"/>
  <c r="I464" i="47"/>
  <c r="H464" i="47"/>
  <c r="O468" i="46"/>
  <c r="N468" i="46"/>
  <c r="M468" i="46"/>
  <c r="J468" i="46"/>
  <c r="I468" i="46"/>
  <c r="H468" i="46"/>
  <c r="O467" i="46"/>
  <c r="N467" i="46"/>
  <c r="M467" i="46"/>
  <c r="J467" i="46"/>
  <c r="I467" i="46"/>
  <c r="H467" i="46"/>
  <c r="O466" i="46"/>
  <c r="N466" i="46"/>
  <c r="M466" i="46"/>
  <c r="J466" i="46"/>
  <c r="I466" i="46"/>
  <c r="H466" i="46"/>
  <c r="O465" i="46"/>
  <c r="N465" i="46"/>
  <c r="M465" i="46"/>
  <c r="J465" i="46"/>
  <c r="I465" i="46"/>
  <c r="H465" i="46"/>
  <c r="O464" i="46"/>
  <c r="N464" i="46"/>
  <c r="M464" i="46"/>
  <c r="J464" i="46"/>
  <c r="I464" i="46"/>
  <c r="H464" i="46"/>
  <c r="O468" i="45"/>
  <c r="N468" i="45"/>
  <c r="M468" i="45"/>
  <c r="J468" i="45"/>
  <c r="I468" i="45"/>
  <c r="H468" i="45"/>
  <c r="O467" i="45"/>
  <c r="N467" i="45"/>
  <c r="M467" i="45"/>
  <c r="J467" i="45"/>
  <c r="I467" i="45"/>
  <c r="H467" i="45"/>
  <c r="O466" i="45"/>
  <c r="N466" i="45"/>
  <c r="M466" i="45"/>
  <c r="J466" i="45"/>
  <c r="I466" i="45"/>
  <c r="H466" i="45"/>
  <c r="O465" i="45"/>
  <c r="N465" i="45"/>
  <c r="M465" i="45"/>
  <c r="J465" i="45"/>
  <c r="I465" i="45"/>
  <c r="H465" i="45"/>
  <c r="O464" i="45"/>
  <c r="N464" i="45"/>
  <c r="M464" i="45"/>
  <c r="J464" i="45"/>
  <c r="I464" i="45"/>
  <c r="H464" i="45"/>
  <c r="O468" i="44"/>
  <c r="N468" i="44"/>
  <c r="M468" i="44"/>
  <c r="J468" i="44"/>
  <c r="I468" i="44"/>
  <c r="H468" i="44"/>
  <c r="O467" i="44"/>
  <c r="N467" i="44"/>
  <c r="M467" i="44"/>
  <c r="J467" i="44"/>
  <c r="I467" i="44"/>
  <c r="H467" i="44"/>
  <c r="O466" i="44"/>
  <c r="N466" i="44"/>
  <c r="M466" i="44"/>
  <c r="J466" i="44"/>
  <c r="I466" i="44"/>
  <c r="H466" i="44"/>
  <c r="O465" i="44"/>
  <c r="N465" i="44"/>
  <c r="M465" i="44"/>
  <c r="J465" i="44"/>
  <c r="I465" i="44"/>
  <c r="H465" i="44"/>
  <c r="O464" i="44"/>
  <c r="N464" i="44"/>
  <c r="M464" i="44"/>
  <c r="J464" i="44"/>
  <c r="I464" i="44"/>
  <c r="H464" i="44"/>
  <c r="O468" i="43"/>
  <c r="N468" i="43"/>
  <c r="M468" i="43"/>
  <c r="J468" i="43"/>
  <c r="I468" i="43"/>
  <c r="H468" i="43"/>
  <c r="O467" i="43"/>
  <c r="N467" i="43"/>
  <c r="M467" i="43"/>
  <c r="J467" i="43"/>
  <c r="I467" i="43"/>
  <c r="H467" i="43"/>
  <c r="O466" i="43"/>
  <c r="N466" i="43"/>
  <c r="M466" i="43"/>
  <c r="J466" i="43"/>
  <c r="I466" i="43"/>
  <c r="H466" i="43"/>
  <c r="O465" i="43"/>
  <c r="N465" i="43"/>
  <c r="M465" i="43"/>
  <c r="J465" i="43"/>
  <c r="I465" i="43"/>
  <c r="H465" i="43"/>
  <c r="O464" i="43"/>
  <c r="N464" i="43"/>
  <c r="M464" i="43"/>
  <c r="J464" i="43"/>
  <c r="I464" i="43"/>
  <c r="H464" i="43"/>
  <c r="O468" i="42"/>
  <c r="N468" i="42"/>
  <c r="M468" i="42"/>
  <c r="J468" i="42"/>
  <c r="I468" i="42"/>
  <c r="H468" i="42"/>
  <c r="O467" i="42"/>
  <c r="N467" i="42"/>
  <c r="M467" i="42"/>
  <c r="J467" i="42"/>
  <c r="I467" i="42"/>
  <c r="H467" i="42"/>
  <c r="O466" i="42"/>
  <c r="N466" i="42"/>
  <c r="M466" i="42"/>
  <c r="J466" i="42"/>
  <c r="I466" i="42"/>
  <c r="H466" i="42"/>
  <c r="O465" i="42"/>
  <c r="N465" i="42"/>
  <c r="M465" i="42"/>
  <c r="J465" i="42"/>
  <c r="I465" i="42"/>
  <c r="H465" i="42"/>
  <c r="O464" i="42"/>
  <c r="N464" i="42"/>
  <c r="M464" i="42"/>
  <c r="J464" i="42"/>
  <c r="I464" i="42"/>
  <c r="H464" i="42"/>
  <c r="O468" i="41"/>
  <c r="N468" i="41"/>
  <c r="M468" i="41"/>
  <c r="J468" i="41"/>
  <c r="I468" i="41"/>
  <c r="H468" i="41"/>
  <c r="O467" i="41"/>
  <c r="N467" i="41"/>
  <c r="M467" i="41"/>
  <c r="J467" i="41"/>
  <c r="I467" i="41"/>
  <c r="H467" i="41"/>
  <c r="O466" i="41"/>
  <c r="N466" i="41"/>
  <c r="M466" i="41"/>
  <c r="J466" i="41"/>
  <c r="I466" i="41"/>
  <c r="H466" i="41"/>
  <c r="O465" i="41"/>
  <c r="N465" i="41"/>
  <c r="M465" i="41"/>
  <c r="J465" i="41"/>
  <c r="I465" i="41"/>
  <c r="H465" i="41"/>
  <c r="O464" i="41"/>
  <c r="N464" i="41"/>
  <c r="M464" i="41"/>
  <c r="J464" i="41"/>
  <c r="I464" i="41"/>
  <c r="H464" i="41"/>
  <c r="O468" i="40"/>
  <c r="N468" i="40"/>
  <c r="M468" i="40"/>
  <c r="J468" i="40"/>
  <c r="I468" i="40"/>
  <c r="H468" i="40"/>
  <c r="O467" i="40"/>
  <c r="N467" i="40"/>
  <c r="M467" i="40"/>
  <c r="J467" i="40"/>
  <c r="I467" i="40"/>
  <c r="H467" i="40"/>
  <c r="O466" i="40"/>
  <c r="N466" i="40"/>
  <c r="M466" i="40"/>
  <c r="J466" i="40"/>
  <c r="I466" i="40"/>
  <c r="H466" i="40"/>
  <c r="O465" i="40"/>
  <c r="N465" i="40"/>
  <c r="M465" i="40"/>
  <c r="J465" i="40"/>
  <c r="I465" i="40"/>
  <c r="H465" i="40"/>
  <c r="O464" i="40"/>
  <c r="N464" i="40"/>
  <c r="M464" i="40"/>
  <c r="J464" i="40"/>
  <c r="I464" i="40"/>
  <c r="H464" i="40"/>
  <c r="O468" i="39"/>
  <c r="N468" i="39"/>
  <c r="M468" i="39"/>
  <c r="J468" i="39"/>
  <c r="I468" i="39"/>
  <c r="H468" i="39"/>
  <c r="O467" i="39"/>
  <c r="N467" i="39"/>
  <c r="M467" i="39"/>
  <c r="J467" i="39"/>
  <c r="I467" i="39"/>
  <c r="H467" i="39"/>
  <c r="O466" i="39"/>
  <c r="N466" i="39"/>
  <c r="M466" i="39"/>
  <c r="J466" i="39"/>
  <c r="I466" i="39"/>
  <c r="H466" i="39"/>
  <c r="O465" i="39"/>
  <c r="N465" i="39"/>
  <c r="M465" i="39"/>
  <c r="J465" i="39"/>
  <c r="I465" i="39"/>
  <c r="H465" i="39"/>
  <c r="O464" i="39"/>
  <c r="N464" i="39"/>
  <c r="M464" i="39"/>
  <c r="J464" i="39"/>
  <c r="I464" i="39"/>
  <c r="H464" i="39"/>
  <c r="O468" i="38"/>
  <c r="N468" i="38"/>
  <c r="M468" i="38"/>
  <c r="J468" i="38"/>
  <c r="I468" i="38"/>
  <c r="H468" i="38"/>
  <c r="O467" i="38"/>
  <c r="N467" i="38"/>
  <c r="M467" i="38"/>
  <c r="J467" i="38"/>
  <c r="I467" i="38"/>
  <c r="H467" i="38"/>
  <c r="O466" i="38"/>
  <c r="N466" i="38"/>
  <c r="M466" i="38"/>
  <c r="J466" i="38"/>
  <c r="I466" i="38"/>
  <c r="H466" i="38"/>
  <c r="O465" i="38"/>
  <c r="N465" i="38"/>
  <c r="M465" i="38"/>
  <c r="J465" i="38"/>
  <c r="I465" i="38"/>
  <c r="H465" i="38"/>
  <c r="O464" i="38"/>
  <c r="N464" i="38"/>
  <c r="M464" i="38"/>
  <c r="J464" i="38"/>
  <c r="I464" i="38"/>
  <c r="H464" i="38"/>
  <c r="H464" i="37"/>
  <c r="I464" i="37"/>
  <c r="J464" i="37"/>
  <c r="M464" i="37"/>
  <c r="N464" i="37"/>
  <c r="O464" i="37"/>
  <c r="H465" i="37"/>
  <c r="I465" i="37"/>
  <c r="J465" i="37"/>
  <c r="M465" i="37"/>
  <c r="N465" i="37"/>
  <c r="O465" i="37"/>
  <c r="H466" i="37"/>
  <c r="I466" i="37"/>
  <c r="J466" i="37"/>
  <c r="M466" i="37"/>
  <c r="N466" i="37"/>
  <c r="O466" i="37"/>
  <c r="H467" i="37"/>
  <c r="I467" i="37"/>
  <c r="J467" i="37"/>
  <c r="M467" i="37"/>
  <c r="N467" i="37"/>
  <c r="O467" i="37"/>
  <c r="H468" i="37"/>
  <c r="I468" i="37"/>
  <c r="J468" i="37"/>
  <c r="M468" i="37"/>
  <c r="N468" i="37"/>
  <c r="O468" i="37"/>
  <c r="O415" i="55"/>
  <c r="N415" i="55"/>
  <c r="M415" i="55"/>
  <c r="O414" i="55"/>
  <c r="N414" i="55"/>
  <c r="M414" i="55"/>
  <c r="O413" i="55"/>
  <c r="N413" i="55"/>
  <c r="M413" i="55"/>
  <c r="O412" i="55"/>
  <c r="N412" i="55"/>
  <c r="M412" i="55"/>
  <c r="O411" i="55"/>
  <c r="N411" i="55"/>
  <c r="M411" i="55"/>
  <c r="J415" i="55"/>
  <c r="I415" i="55"/>
  <c r="H415" i="55"/>
  <c r="J414" i="55"/>
  <c r="I414" i="55"/>
  <c r="H414" i="55"/>
  <c r="J413" i="55"/>
  <c r="I413" i="55"/>
  <c r="H413" i="55"/>
  <c r="J412" i="55"/>
  <c r="I412" i="55"/>
  <c r="H412" i="55"/>
  <c r="J411" i="55"/>
  <c r="I411" i="55"/>
  <c r="H411" i="55"/>
  <c r="O415" i="54"/>
  <c r="N415" i="54"/>
  <c r="M415" i="54"/>
  <c r="O414" i="54"/>
  <c r="N414" i="54"/>
  <c r="M414" i="54"/>
  <c r="O413" i="54"/>
  <c r="N413" i="54"/>
  <c r="M413" i="54"/>
  <c r="O412" i="54"/>
  <c r="N412" i="54"/>
  <c r="M412" i="54"/>
  <c r="O411" i="54"/>
  <c r="N411" i="54"/>
  <c r="M411" i="54"/>
  <c r="J415" i="54"/>
  <c r="I415" i="54"/>
  <c r="H415" i="54"/>
  <c r="J414" i="54"/>
  <c r="I414" i="54"/>
  <c r="H414" i="54"/>
  <c r="J413" i="54"/>
  <c r="I413" i="54"/>
  <c r="H413" i="54"/>
  <c r="J412" i="54"/>
  <c r="I412" i="54"/>
  <c r="H412" i="54"/>
  <c r="J411" i="54"/>
  <c r="I411" i="54"/>
  <c r="H411" i="54"/>
  <c r="O415" i="53"/>
  <c r="N415" i="53"/>
  <c r="M415" i="53"/>
  <c r="O414" i="53"/>
  <c r="N414" i="53"/>
  <c r="M414" i="53"/>
  <c r="O413" i="53"/>
  <c r="N413" i="53"/>
  <c r="M413" i="53"/>
  <c r="O412" i="53"/>
  <c r="N412" i="53"/>
  <c r="M412" i="53"/>
  <c r="O411" i="53"/>
  <c r="N411" i="53"/>
  <c r="M411" i="53"/>
  <c r="J415" i="53"/>
  <c r="I415" i="53"/>
  <c r="H415" i="53"/>
  <c r="J414" i="53"/>
  <c r="I414" i="53"/>
  <c r="H414" i="53"/>
  <c r="J413" i="53"/>
  <c r="I413" i="53"/>
  <c r="H413" i="53"/>
  <c r="J412" i="53"/>
  <c r="I412" i="53"/>
  <c r="H412" i="53"/>
  <c r="J411" i="53"/>
  <c r="I411" i="53"/>
  <c r="H411" i="53"/>
  <c r="O415" i="52"/>
  <c r="N415" i="52"/>
  <c r="M415" i="52"/>
  <c r="O414" i="52"/>
  <c r="N414" i="52"/>
  <c r="M414" i="52"/>
  <c r="O413" i="52"/>
  <c r="N413" i="52"/>
  <c r="M413" i="52"/>
  <c r="O412" i="52"/>
  <c r="N412" i="52"/>
  <c r="M412" i="52"/>
  <c r="O411" i="52"/>
  <c r="N411" i="52"/>
  <c r="M411" i="52"/>
  <c r="J415" i="52"/>
  <c r="I415" i="52"/>
  <c r="H415" i="52"/>
  <c r="J414" i="52"/>
  <c r="I414" i="52"/>
  <c r="H414" i="52"/>
  <c r="J413" i="52"/>
  <c r="I413" i="52"/>
  <c r="H413" i="52"/>
  <c r="J412" i="52"/>
  <c r="I412" i="52"/>
  <c r="H412" i="52"/>
  <c r="J411" i="52"/>
  <c r="I411" i="52"/>
  <c r="H411" i="52"/>
  <c r="O415" i="51"/>
  <c r="N415" i="51"/>
  <c r="M415" i="51"/>
  <c r="O414" i="51"/>
  <c r="N414" i="51"/>
  <c r="M414" i="51"/>
  <c r="O413" i="51"/>
  <c r="N413" i="51"/>
  <c r="M413" i="51"/>
  <c r="O412" i="51"/>
  <c r="N412" i="51"/>
  <c r="M412" i="51"/>
  <c r="O411" i="51"/>
  <c r="N411" i="51"/>
  <c r="M411" i="51"/>
  <c r="J415" i="51"/>
  <c r="I415" i="51"/>
  <c r="H415" i="51"/>
  <c r="J414" i="51"/>
  <c r="I414" i="51"/>
  <c r="H414" i="51"/>
  <c r="J413" i="51"/>
  <c r="I413" i="51"/>
  <c r="H413" i="51"/>
  <c r="J412" i="51"/>
  <c r="I412" i="51"/>
  <c r="H412" i="51"/>
  <c r="J411" i="51"/>
  <c r="I411" i="51"/>
  <c r="H411" i="51"/>
  <c r="O415" i="50"/>
  <c r="N415" i="50"/>
  <c r="M415" i="50"/>
  <c r="O414" i="50"/>
  <c r="N414" i="50"/>
  <c r="M414" i="50"/>
  <c r="O413" i="50"/>
  <c r="N413" i="50"/>
  <c r="M413" i="50"/>
  <c r="O412" i="50"/>
  <c r="N412" i="50"/>
  <c r="M412" i="50"/>
  <c r="O411" i="50"/>
  <c r="N411" i="50"/>
  <c r="M411" i="50"/>
  <c r="J415" i="50"/>
  <c r="I415" i="50"/>
  <c r="H415" i="50"/>
  <c r="J414" i="50"/>
  <c r="I414" i="50"/>
  <c r="H414" i="50"/>
  <c r="J413" i="50"/>
  <c r="I413" i="50"/>
  <c r="H413" i="50"/>
  <c r="J412" i="50"/>
  <c r="I412" i="50"/>
  <c r="H412" i="50"/>
  <c r="J411" i="50"/>
  <c r="I411" i="50"/>
  <c r="H411" i="50"/>
  <c r="O415" i="49"/>
  <c r="N415" i="49"/>
  <c r="M415" i="49"/>
  <c r="O414" i="49"/>
  <c r="N414" i="49"/>
  <c r="M414" i="49"/>
  <c r="O413" i="49"/>
  <c r="N413" i="49"/>
  <c r="M413" i="49"/>
  <c r="O412" i="49"/>
  <c r="N412" i="49"/>
  <c r="M412" i="49"/>
  <c r="O411" i="49"/>
  <c r="N411" i="49"/>
  <c r="M411" i="49"/>
  <c r="J415" i="49"/>
  <c r="I415" i="49"/>
  <c r="H415" i="49"/>
  <c r="J414" i="49"/>
  <c r="I414" i="49"/>
  <c r="H414" i="49"/>
  <c r="J413" i="49"/>
  <c r="I413" i="49"/>
  <c r="H413" i="49"/>
  <c r="J412" i="49"/>
  <c r="I412" i="49"/>
  <c r="H412" i="49"/>
  <c r="J411" i="49"/>
  <c r="I411" i="49"/>
  <c r="H411" i="49"/>
  <c r="O415" i="48"/>
  <c r="N415" i="48"/>
  <c r="M415" i="48"/>
  <c r="O414" i="48"/>
  <c r="N414" i="48"/>
  <c r="M414" i="48"/>
  <c r="O413" i="48"/>
  <c r="N413" i="48"/>
  <c r="M413" i="48"/>
  <c r="O412" i="48"/>
  <c r="N412" i="48"/>
  <c r="M412" i="48"/>
  <c r="O411" i="48"/>
  <c r="N411" i="48"/>
  <c r="M411" i="48"/>
  <c r="J415" i="48"/>
  <c r="I415" i="48"/>
  <c r="H415" i="48"/>
  <c r="J414" i="48"/>
  <c r="I414" i="48"/>
  <c r="H414" i="48"/>
  <c r="J413" i="48"/>
  <c r="I413" i="48"/>
  <c r="H413" i="48"/>
  <c r="J412" i="48"/>
  <c r="I412" i="48"/>
  <c r="H412" i="48"/>
  <c r="J411" i="48"/>
  <c r="I411" i="48"/>
  <c r="H411" i="48"/>
  <c r="O415" i="47"/>
  <c r="N415" i="47"/>
  <c r="M415" i="47"/>
  <c r="O414" i="47"/>
  <c r="N414" i="47"/>
  <c r="M414" i="47"/>
  <c r="O413" i="47"/>
  <c r="N413" i="47"/>
  <c r="M413" i="47"/>
  <c r="O412" i="47"/>
  <c r="N412" i="47"/>
  <c r="M412" i="47"/>
  <c r="O411" i="47"/>
  <c r="N411" i="47"/>
  <c r="M411" i="47"/>
  <c r="J415" i="47"/>
  <c r="I415" i="47"/>
  <c r="H415" i="47"/>
  <c r="J414" i="47"/>
  <c r="I414" i="47"/>
  <c r="H414" i="47"/>
  <c r="J413" i="47"/>
  <c r="I413" i="47"/>
  <c r="H413" i="47"/>
  <c r="J412" i="47"/>
  <c r="I412" i="47"/>
  <c r="H412" i="47"/>
  <c r="J411" i="47"/>
  <c r="I411" i="47"/>
  <c r="H411" i="47"/>
  <c r="O415" i="46"/>
  <c r="N415" i="46"/>
  <c r="M415" i="46"/>
  <c r="O414" i="46"/>
  <c r="N414" i="46"/>
  <c r="M414" i="46"/>
  <c r="O413" i="46"/>
  <c r="N413" i="46"/>
  <c r="M413" i="46"/>
  <c r="O412" i="46"/>
  <c r="N412" i="46"/>
  <c r="M412" i="46"/>
  <c r="O411" i="46"/>
  <c r="N411" i="46"/>
  <c r="M411" i="46"/>
  <c r="J415" i="46"/>
  <c r="I415" i="46"/>
  <c r="H415" i="46"/>
  <c r="J414" i="46"/>
  <c r="I414" i="46"/>
  <c r="H414" i="46"/>
  <c r="J413" i="46"/>
  <c r="I413" i="46"/>
  <c r="H413" i="46"/>
  <c r="J412" i="46"/>
  <c r="I412" i="46"/>
  <c r="H412" i="46"/>
  <c r="J411" i="46"/>
  <c r="I411" i="46"/>
  <c r="H411" i="46"/>
  <c r="O415" i="45"/>
  <c r="N415" i="45"/>
  <c r="M415" i="45"/>
  <c r="O414" i="45"/>
  <c r="N414" i="45"/>
  <c r="M414" i="45"/>
  <c r="O413" i="45"/>
  <c r="N413" i="45"/>
  <c r="M413" i="45"/>
  <c r="O412" i="45"/>
  <c r="N412" i="45"/>
  <c r="M412" i="45"/>
  <c r="O411" i="45"/>
  <c r="N411" i="45"/>
  <c r="M411" i="45"/>
  <c r="J415" i="45"/>
  <c r="I415" i="45"/>
  <c r="H415" i="45"/>
  <c r="J414" i="45"/>
  <c r="I414" i="45"/>
  <c r="H414" i="45"/>
  <c r="J413" i="45"/>
  <c r="I413" i="45"/>
  <c r="H413" i="45"/>
  <c r="J412" i="45"/>
  <c r="I412" i="45"/>
  <c r="H412" i="45"/>
  <c r="J411" i="45"/>
  <c r="I411" i="45"/>
  <c r="H411" i="45"/>
  <c r="O415" i="44"/>
  <c r="N415" i="44"/>
  <c r="M415" i="44"/>
  <c r="O414" i="44"/>
  <c r="N414" i="44"/>
  <c r="M414" i="44"/>
  <c r="O413" i="44"/>
  <c r="N413" i="44"/>
  <c r="M413" i="44"/>
  <c r="O412" i="44"/>
  <c r="N412" i="44"/>
  <c r="M412" i="44"/>
  <c r="O411" i="44"/>
  <c r="N411" i="44"/>
  <c r="M411" i="44"/>
  <c r="J415" i="44"/>
  <c r="I415" i="44"/>
  <c r="H415" i="44"/>
  <c r="J414" i="44"/>
  <c r="I414" i="44"/>
  <c r="H414" i="44"/>
  <c r="J413" i="44"/>
  <c r="I413" i="44"/>
  <c r="H413" i="44"/>
  <c r="J412" i="44"/>
  <c r="I412" i="44"/>
  <c r="H412" i="44"/>
  <c r="J411" i="44"/>
  <c r="I411" i="44"/>
  <c r="H411" i="44"/>
  <c r="O415" i="43"/>
  <c r="N415" i="43"/>
  <c r="M415" i="43"/>
  <c r="O414" i="43"/>
  <c r="N414" i="43"/>
  <c r="M414" i="43"/>
  <c r="O413" i="43"/>
  <c r="N413" i="43"/>
  <c r="M413" i="43"/>
  <c r="O412" i="43"/>
  <c r="N412" i="43"/>
  <c r="M412" i="43"/>
  <c r="O411" i="43"/>
  <c r="N411" i="43"/>
  <c r="M411" i="43"/>
  <c r="J415" i="43"/>
  <c r="I415" i="43"/>
  <c r="H415" i="43"/>
  <c r="J414" i="43"/>
  <c r="I414" i="43"/>
  <c r="H414" i="43"/>
  <c r="J413" i="43"/>
  <c r="I413" i="43"/>
  <c r="H413" i="43"/>
  <c r="J412" i="43"/>
  <c r="I412" i="43"/>
  <c r="H412" i="43"/>
  <c r="J411" i="43"/>
  <c r="I411" i="43"/>
  <c r="H411" i="43"/>
  <c r="O415" i="42"/>
  <c r="N415" i="42"/>
  <c r="M415" i="42"/>
  <c r="O414" i="42"/>
  <c r="N414" i="42"/>
  <c r="M414" i="42"/>
  <c r="O413" i="42"/>
  <c r="N413" i="42"/>
  <c r="M413" i="42"/>
  <c r="O412" i="42"/>
  <c r="N412" i="42"/>
  <c r="M412" i="42"/>
  <c r="O411" i="42"/>
  <c r="N411" i="42"/>
  <c r="M411" i="42"/>
  <c r="J415" i="42"/>
  <c r="I415" i="42"/>
  <c r="H415" i="42"/>
  <c r="J414" i="42"/>
  <c r="I414" i="42"/>
  <c r="H414" i="42"/>
  <c r="J413" i="42"/>
  <c r="I413" i="42"/>
  <c r="H413" i="42"/>
  <c r="J412" i="42"/>
  <c r="I412" i="42"/>
  <c r="H412" i="42"/>
  <c r="J411" i="42"/>
  <c r="I411" i="42"/>
  <c r="H411" i="42"/>
  <c r="O415" i="41"/>
  <c r="N415" i="41"/>
  <c r="M415" i="41"/>
  <c r="O414" i="41"/>
  <c r="N414" i="41"/>
  <c r="M414" i="41"/>
  <c r="O413" i="41"/>
  <c r="N413" i="41"/>
  <c r="M413" i="41"/>
  <c r="O412" i="41"/>
  <c r="N412" i="41"/>
  <c r="M412" i="41"/>
  <c r="O411" i="41"/>
  <c r="N411" i="41"/>
  <c r="M411" i="41"/>
  <c r="J415" i="41"/>
  <c r="I415" i="41"/>
  <c r="H415" i="41"/>
  <c r="J414" i="41"/>
  <c r="I414" i="41"/>
  <c r="H414" i="41"/>
  <c r="J413" i="41"/>
  <c r="I413" i="41"/>
  <c r="H413" i="41"/>
  <c r="J412" i="41"/>
  <c r="I412" i="41"/>
  <c r="H412" i="41"/>
  <c r="J411" i="41"/>
  <c r="I411" i="41"/>
  <c r="H411" i="41"/>
  <c r="O415" i="40"/>
  <c r="N415" i="40"/>
  <c r="M415" i="40"/>
  <c r="O414" i="40"/>
  <c r="N414" i="40"/>
  <c r="M414" i="40"/>
  <c r="O413" i="40"/>
  <c r="N413" i="40"/>
  <c r="M413" i="40"/>
  <c r="O412" i="40"/>
  <c r="N412" i="40"/>
  <c r="M412" i="40"/>
  <c r="O411" i="40"/>
  <c r="N411" i="40"/>
  <c r="M411" i="40"/>
  <c r="J415" i="40"/>
  <c r="I415" i="40"/>
  <c r="H415" i="40"/>
  <c r="J414" i="40"/>
  <c r="I414" i="40"/>
  <c r="H414" i="40"/>
  <c r="J413" i="40"/>
  <c r="I413" i="40"/>
  <c r="H413" i="40"/>
  <c r="J412" i="40"/>
  <c r="I412" i="40"/>
  <c r="H412" i="40"/>
  <c r="J411" i="40"/>
  <c r="I411" i="40"/>
  <c r="H411" i="40"/>
  <c r="O415" i="39"/>
  <c r="N415" i="39"/>
  <c r="M415" i="39"/>
  <c r="O414" i="39"/>
  <c r="N414" i="39"/>
  <c r="M414" i="39"/>
  <c r="O413" i="39"/>
  <c r="N413" i="39"/>
  <c r="M413" i="39"/>
  <c r="O412" i="39"/>
  <c r="N412" i="39"/>
  <c r="M412" i="39"/>
  <c r="O411" i="39"/>
  <c r="N411" i="39"/>
  <c r="M411" i="39"/>
  <c r="J415" i="39"/>
  <c r="I415" i="39"/>
  <c r="H415" i="39"/>
  <c r="J414" i="39"/>
  <c r="I414" i="39"/>
  <c r="H414" i="39"/>
  <c r="J413" i="39"/>
  <c r="I413" i="39"/>
  <c r="H413" i="39"/>
  <c r="J412" i="39"/>
  <c r="I412" i="39"/>
  <c r="H412" i="39"/>
  <c r="J411" i="39"/>
  <c r="I411" i="39"/>
  <c r="H411" i="39"/>
  <c r="O415" i="38"/>
  <c r="N415" i="38"/>
  <c r="M415" i="38"/>
  <c r="O414" i="38"/>
  <c r="N414" i="38"/>
  <c r="M414" i="38"/>
  <c r="O413" i="38"/>
  <c r="N413" i="38"/>
  <c r="M413" i="38"/>
  <c r="O412" i="38"/>
  <c r="N412" i="38"/>
  <c r="M412" i="38"/>
  <c r="O411" i="38"/>
  <c r="N411" i="38"/>
  <c r="M411" i="38"/>
  <c r="J415" i="38"/>
  <c r="I415" i="38"/>
  <c r="H415" i="38"/>
  <c r="J414" i="38"/>
  <c r="I414" i="38"/>
  <c r="H414" i="38"/>
  <c r="J413" i="38"/>
  <c r="I413" i="38"/>
  <c r="H413" i="38"/>
  <c r="J412" i="38"/>
  <c r="I412" i="38"/>
  <c r="H412" i="38"/>
  <c r="J411" i="38"/>
  <c r="I411" i="38"/>
  <c r="H411" i="38"/>
  <c r="O415" i="37"/>
  <c r="N415" i="37"/>
  <c r="M415" i="37"/>
  <c r="O414" i="37"/>
  <c r="N414" i="37"/>
  <c r="M414" i="37"/>
  <c r="O413" i="37"/>
  <c r="N413" i="37"/>
  <c r="M413" i="37"/>
  <c r="O412" i="37"/>
  <c r="N412" i="37"/>
  <c r="M412" i="37"/>
  <c r="O411" i="37"/>
  <c r="N411" i="37"/>
  <c r="M411" i="37"/>
  <c r="I412" i="37"/>
  <c r="J412" i="37"/>
  <c r="I413" i="37"/>
  <c r="J413" i="37"/>
  <c r="I414" i="37"/>
  <c r="J414" i="37"/>
  <c r="I415" i="37"/>
  <c r="J415" i="37"/>
  <c r="J411" i="37"/>
  <c r="I411" i="37"/>
  <c r="H412" i="37"/>
  <c r="H413" i="37"/>
  <c r="H414" i="37"/>
  <c r="H415" i="37"/>
  <c r="H411" i="37"/>
  <c r="I370" i="17"/>
  <c r="N193" i="55" l="1"/>
  <c r="N194" i="55"/>
  <c r="N195" i="55"/>
  <c r="N196" i="55"/>
  <c r="N197" i="55"/>
  <c r="N198" i="55"/>
  <c r="N199" i="55"/>
  <c r="N200" i="55"/>
  <c r="N201" i="55"/>
  <c r="N202" i="55"/>
  <c r="N203" i="55"/>
  <c r="N204" i="55"/>
  <c r="N205" i="55"/>
  <c r="N206" i="55"/>
  <c r="N207" i="55"/>
  <c r="N208" i="55"/>
  <c r="N209" i="55"/>
  <c r="N210" i="55"/>
  <c r="N211" i="55"/>
  <c r="N212" i="55"/>
  <c r="N213" i="55"/>
  <c r="N214" i="55"/>
  <c r="N215" i="55"/>
  <c r="N216" i="55"/>
  <c r="N217" i="55"/>
  <c r="N218" i="55"/>
  <c r="N219" i="55"/>
  <c r="N220" i="55"/>
  <c r="N221" i="55"/>
  <c r="N222" i="55"/>
  <c r="N223" i="55"/>
  <c r="N224" i="55"/>
  <c r="N225" i="55"/>
  <c r="N226" i="55"/>
  <c r="N227" i="55"/>
  <c r="N228" i="55"/>
  <c r="N229" i="55"/>
  <c r="N230" i="55"/>
  <c r="N231" i="55"/>
  <c r="N232" i="55"/>
  <c r="N233" i="55"/>
  <c r="N234" i="55"/>
  <c r="N235" i="55"/>
  <c r="N236" i="55"/>
  <c r="N237" i="55"/>
  <c r="N238" i="55"/>
  <c r="N239" i="55"/>
  <c r="N240" i="55"/>
  <c r="N241" i="55"/>
  <c r="N242" i="55"/>
  <c r="N243" i="55"/>
  <c r="N244" i="55"/>
  <c r="N245" i="55"/>
  <c r="N246" i="55"/>
  <c r="N247" i="55"/>
  <c r="N248" i="55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193" i="53"/>
  <c r="N194" i="53"/>
  <c r="N195" i="53"/>
  <c r="N196" i="53"/>
  <c r="N197" i="53"/>
  <c r="N198" i="53"/>
  <c r="N199" i="53"/>
  <c r="N200" i="53"/>
  <c r="N201" i="53"/>
  <c r="N202" i="53"/>
  <c r="N203" i="53"/>
  <c r="N204" i="53"/>
  <c r="N205" i="53"/>
  <c r="N206" i="53"/>
  <c r="N207" i="53"/>
  <c r="N208" i="53"/>
  <c r="N209" i="53"/>
  <c r="N210" i="53"/>
  <c r="N211" i="53"/>
  <c r="N212" i="53"/>
  <c r="N213" i="53"/>
  <c r="N214" i="53"/>
  <c r="N215" i="53"/>
  <c r="N216" i="53"/>
  <c r="N217" i="53"/>
  <c r="N218" i="53"/>
  <c r="N219" i="53"/>
  <c r="N220" i="53"/>
  <c r="N221" i="53"/>
  <c r="N222" i="53"/>
  <c r="N223" i="53"/>
  <c r="N224" i="53"/>
  <c r="N225" i="53"/>
  <c r="N226" i="53"/>
  <c r="N227" i="53"/>
  <c r="N228" i="53"/>
  <c r="N229" i="53"/>
  <c r="N230" i="53"/>
  <c r="N231" i="53"/>
  <c r="N232" i="53"/>
  <c r="N233" i="53"/>
  <c r="N234" i="53"/>
  <c r="N235" i="53"/>
  <c r="N236" i="53"/>
  <c r="N237" i="53"/>
  <c r="N238" i="53"/>
  <c r="N239" i="53"/>
  <c r="N240" i="53"/>
  <c r="N241" i="53"/>
  <c r="N242" i="53"/>
  <c r="N243" i="53"/>
  <c r="N244" i="53"/>
  <c r="N245" i="53"/>
  <c r="N246" i="53"/>
  <c r="N247" i="53"/>
  <c r="N248" i="53"/>
  <c r="N193" i="52"/>
  <c r="N194" i="52"/>
  <c r="N195" i="52"/>
  <c r="N196" i="52"/>
  <c r="N197" i="52"/>
  <c r="N198" i="52"/>
  <c r="N199" i="52"/>
  <c r="N200" i="52"/>
  <c r="N201" i="52"/>
  <c r="N202" i="52"/>
  <c r="N203" i="52"/>
  <c r="N204" i="52"/>
  <c r="N205" i="52"/>
  <c r="N206" i="52"/>
  <c r="N207" i="52"/>
  <c r="N208" i="52"/>
  <c r="N209" i="52"/>
  <c r="N210" i="52"/>
  <c r="N211" i="52"/>
  <c r="N212" i="52"/>
  <c r="N213" i="52"/>
  <c r="N214" i="52"/>
  <c r="N215" i="52"/>
  <c r="N216" i="52"/>
  <c r="N217" i="52"/>
  <c r="N218" i="52"/>
  <c r="N219" i="52"/>
  <c r="N220" i="52"/>
  <c r="N221" i="52"/>
  <c r="N222" i="52"/>
  <c r="N223" i="52"/>
  <c r="N224" i="52"/>
  <c r="N225" i="52"/>
  <c r="N226" i="52"/>
  <c r="N227" i="52"/>
  <c r="N228" i="52"/>
  <c r="N229" i="52"/>
  <c r="N230" i="52"/>
  <c r="N231" i="52"/>
  <c r="N232" i="52"/>
  <c r="N233" i="52"/>
  <c r="N234" i="52"/>
  <c r="N235" i="52"/>
  <c r="N236" i="52"/>
  <c r="N237" i="52"/>
  <c r="N238" i="52"/>
  <c r="N239" i="52"/>
  <c r="N240" i="52"/>
  <c r="N241" i="52"/>
  <c r="N242" i="52"/>
  <c r="N243" i="52"/>
  <c r="N244" i="52"/>
  <c r="N245" i="52"/>
  <c r="N246" i="52"/>
  <c r="N247" i="52"/>
  <c r="N248" i="52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N234" i="51"/>
  <c r="N235" i="51"/>
  <c r="N236" i="51"/>
  <c r="N237" i="51"/>
  <c r="N238" i="51"/>
  <c r="N239" i="51"/>
  <c r="N240" i="51"/>
  <c r="N241" i="51"/>
  <c r="N242" i="51"/>
  <c r="N243" i="51"/>
  <c r="N244" i="51"/>
  <c r="N245" i="51"/>
  <c r="N246" i="51"/>
  <c r="N247" i="51"/>
  <c r="N248" i="51"/>
  <c r="N193" i="50"/>
  <c r="N194" i="50"/>
  <c r="N195" i="50"/>
  <c r="N196" i="50"/>
  <c r="N197" i="50"/>
  <c r="N198" i="50"/>
  <c r="N199" i="50"/>
  <c r="N200" i="50"/>
  <c r="N201" i="50"/>
  <c r="N202" i="50"/>
  <c r="N203" i="50"/>
  <c r="N204" i="50"/>
  <c r="N205" i="50"/>
  <c r="N206" i="50"/>
  <c r="N207" i="50"/>
  <c r="N208" i="50"/>
  <c r="N209" i="50"/>
  <c r="N210" i="50"/>
  <c r="N211" i="50"/>
  <c r="N212" i="50"/>
  <c r="N213" i="50"/>
  <c r="N214" i="50"/>
  <c r="N215" i="50"/>
  <c r="N216" i="50"/>
  <c r="N217" i="50"/>
  <c r="N218" i="50"/>
  <c r="N219" i="50"/>
  <c r="N220" i="50"/>
  <c r="N221" i="50"/>
  <c r="N222" i="50"/>
  <c r="N223" i="50"/>
  <c r="N224" i="50"/>
  <c r="N225" i="50"/>
  <c r="N226" i="50"/>
  <c r="N227" i="50"/>
  <c r="N228" i="50"/>
  <c r="N229" i="50"/>
  <c r="N230" i="50"/>
  <c r="N231" i="50"/>
  <c r="N232" i="50"/>
  <c r="N233" i="50"/>
  <c r="N234" i="50"/>
  <c r="N235" i="50"/>
  <c r="N236" i="50"/>
  <c r="N237" i="50"/>
  <c r="N238" i="50"/>
  <c r="N239" i="50"/>
  <c r="N240" i="50"/>
  <c r="N241" i="50"/>
  <c r="N242" i="50"/>
  <c r="N243" i="50"/>
  <c r="N244" i="50"/>
  <c r="N245" i="50"/>
  <c r="N246" i="50"/>
  <c r="N247" i="50"/>
  <c r="N248" i="50"/>
  <c r="N193" i="49"/>
  <c r="N194" i="49"/>
  <c r="N195" i="49"/>
  <c r="N196" i="49"/>
  <c r="N197" i="49"/>
  <c r="N198" i="49"/>
  <c r="N199" i="49"/>
  <c r="N200" i="49"/>
  <c r="N201" i="49"/>
  <c r="N202" i="49"/>
  <c r="N203" i="49"/>
  <c r="N204" i="49"/>
  <c r="N205" i="49"/>
  <c r="N206" i="49"/>
  <c r="N207" i="49"/>
  <c r="N208" i="49"/>
  <c r="N209" i="49"/>
  <c r="N210" i="49"/>
  <c r="N211" i="49"/>
  <c r="N212" i="49"/>
  <c r="N213" i="49"/>
  <c r="N214" i="49"/>
  <c r="N215" i="49"/>
  <c r="N216" i="49"/>
  <c r="N217" i="49"/>
  <c r="N218" i="49"/>
  <c r="N219" i="49"/>
  <c r="N220" i="49"/>
  <c r="N221" i="49"/>
  <c r="N222" i="49"/>
  <c r="N223" i="49"/>
  <c r="N224" i="49"/>
  <c r="N225" i="49"/>
  <c r="N226" i="49"/>
  <c r="N227" i="49"/>
  <c r="N228" i="49"/>
  <c r="N229" i="49"/>
  <c r="N230" i="49"/>
  <c r="N231" i="49"/>
  <c r="N232" i="49"/>
  <c r="N233" i="49"/>
  <c r="N234" i="49"/>
  <c r="N235" i="49"/>
  <c r="N236" i="49"/>
  <c r="N237" i="49"/>
  <c r="N238" i="49"/>
  <c r="N239" i="49"/>
  <c r="N240" i="49"/>
  <c r="N241" i="49"/>
  <c r="N242" i="49"/>
  <c r="N243" i="49"/>
  <c r="N244" i="49"/>
  <c r="N245" i="49"/>
  <c r="N246" i="49"/>
  <c r="N247" i="49"/>
  <c r="N248" i="49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193" i="47"/>
  <c r="N194" i="47"/>
  <c r="N195" i="47"/>
  <c r="N196" i="47"/>
  <c r="N197" i="47"/>
  <c r="N198" i="47"/>
  <c r="N199" i="47"/>
  <c r="N200" i="47"/>
  <c r="N201" i="47"/>
  <c r="N202" i="47"/>
  <c r="N203" i="47"/>
  <c r="N204" i="47"/>
  <c r="N205" i="47"/>
  <c r="N206" i="47"/>
  <c r="N207" i="47"/>
  <c r="N208" i="47"/>
  <c r="N209" i="47"/>
  <c r="N210" i="47"/>
  <c r="N211" i="47"/>
  <c r="N212" i="47"/>
  <c r="N213" i="47"/>
  <c r="N214" i="47"/>
  <c r="N215" i="47"/>
  <c r="N216" i="47"/>
  <c r="N217" i="47"/>
  <c r="N218" i="47"/>
  <c r="N219" i="47"/>
  <c r="N220" i="47"/>
  <c r="N221" i="47"/>
  <c r="N222" i="47"/>
  <c r="N223" i="47"/>
  <c r="N224" i="47"/>
  <c r="N225" i="47"/>
  <c r="N226" i="47"/>
  <c r="N227" i="47"/>
  <c r="N228" i="47"/>
  <c r="N229" i="47"/>
  <c r="N230" i="47"/>
  <c r="N231" i="47"/>
  <c r="N232" i="47"/>
  <c r="N233" i="47"/>
  <c r="N234" i="47"/>
  <c r="N235" i="47"/>
  <c r="N236" i="47"/>
  <c r="N237" i="47"/>
  <c r="N238" i="47"/>
  <c r="N239" i="47"/>
  <c r="N240" i="47"/>
  <c r="N241" i="47"/>
  <c r="N242" i="47"/>
  <c r="N243" i="47"/>
  <c r="N244" i="47"/>
  <c r="N245" i="47"/>
  <c r="N246" i="47"/>
  <c r="N247" i="47"/>
  <c r="N248" i="47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193" i="45"/>
  <c r="N194" i="45"/>
  <c r="N195" i="45"/>
  <c r="N196" i="45"/>
  <c r="N197" i="45"/>
  <c r="N198" i="45"/>
  <c r="N199" i="45"/>
  <c r="N200" i="45"/>
  <c r="N201" i="45"/>
  <c r="N202" i="45"/>
  <c r="N203" i="45"/>
  <c r="N204" i="45"/>
  <c r="N205" i="45"/>
  <c r="N206" i="45"/>
  <c r="N207" i="45"/>
  <c r="N208" i="45"/>
  <c r="N209" i="45"/>
  <c r="N210" i="45"/>
  <c r="N211" i="45"/>
  <c r="N212" i="45"/>
  <c r="N213" i="45"/>
  <c r="N214" i="45"/>
  <c r="N215" i="45"/>
  <c r="N216" i="45"/>
  <c r="N217" i="45"/>
  <c r="N218" i="45"/>
  <c r="N219" i="45"/>
  <c r="N220" i="45"/>
  <c r="N221" i="45"/>
  <c r="N222" i="45"/>
  <c r="N223" i="45"/>
  <c r="N224" i="45"/>
  <c r="N225" i="45"/>
  <c r="N226" i="45"/>
  <c r="N227" i="45"/>
  <c r="N228" i="45"/>
  <c r="N229" i="45"/>
  <c r="N230" i="45"/>
  <c r="N231" i="45"/>
  <c r="N232" i="45"/>
  <c r="N233" i="45"/>
  <c r="N234" i="45"/>
  <c r="N235" i="45"/>
  <c r="N236" i="45"/>
  <c r="N237" i="45"/>
  <c r="N238" i="45"/>
  <c r="N239" i="45"/>
  <c r="N240" i="45"/>
  <c r="N241" i="45"/>
  <c r="N242" i="45"/>
  <c r="N243" i="45"/>
  <c r="N244" i="45"/>
  <c r="N245" i="45"/>
  <c r="N246" i="45"/>
  <c r="N247" i="45"/>
  <c r="N248" i="45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193" i="43"/>
  <c r="N194" i="43"/>
  <c r="N195" i="43"/>
  <c r="N196" i="43"/>
  <c r="N197" i="43"/>
  <c r="N198" i="43"/>
  <c r="N199" i="43"/>
  <c r="N200" i="43"/>
  <c r="N201" i="43"/>
  <c r="N202" i="43"/>
  <c r="N203" i="43"/>
  <c r="N204" i="43"/>
  <c r="N205" i="43"/>
  <c r="N206" i="43"/>
  <c r="N207" i="43"/>
  <c r="N208" i="43"/>
  <c r="N209" i="43"/>
  <c r="N210" i="43"/>
  <c r="N211" i="43"/>
  <c r="N212" i="43"/>
  <c r="N213" i="43"/>
  <c r="N214" i="43"/>
  <c r="N215" i="43"/>
  <c r="N216" i="43"/>
  <c r="N217" i="43"/>
  <c r="N218" i="43"/>
  <c r="N219" i="43"/>
  <c r="N220" i="43"/>
  <c r="N221" i="43"/>
  <c r="N222" i="43"/>
  <c r="N223" i="43"/>
  <c r="N224" i="43"/>
  <c r="N225" i="43"/>
  <c r="N226" i="43"/>
  <c r="N227" i="43"/>
  <c r="N228" i="43"/>
  <c r="N229" i="43"/>
  <c r="N230" i="43"/>
  <c r="N231" i="43"/>
  <c r="N232" i="43"/>
  <c r="N233" i="43"/>
  <c r="N234" i="43"/>
  <c r="N235" i="43"/>
  <c r="N236" i="43"/>
  <c r="N237" i="43"/>
  <c r="N238" i="43"/>
  <c r="N239" i="43"/>
  <c r="N240" i="43"/>
  <c r="N241" i="43"/>
  <c r="N242" i="43"/>
  <c r="N243" i="43"/>
  <c r="N244" i="43"/>
  <c r="N245" i="43"/>
  <c r="N246" i="43"/>
  <c r="N247" i="43"/>
  <c r="N248" i="43"/>
  <c r="N193" i="42"/>
  <c r="N194" i="42"/>
  <c r="N195" i="42"/>
  <c r="N196" i="42"/>
  <c r="N197" i="42"/>
  <c r="N198" i="42"/>
  <c r="N199" i="42"/>
  <c r="N200" i="42"/>
  <c r="N201" i="42"/>
  <c r="N202" i="42"/>
  <c r="N203" i="42"/>
  <c r="N204" i="42"/>
  <c r="N205" i="42"/>
  <c r="N206" i="42"/>
  <c r="N207" i="42"/>
  <c r="N208" i="42"/>
  <c r="N209" i="42"/>
  <c r="N210" i="42"/>
  <c r="N211" i="42"/>
  <c r="N212" i="42"/>
  <c r="N213" i="42"/>
  <c r="N214" i="42"/>
  <c r="N215" i="42"/>
  <c r="N216" i="42"/>
  <c r="N217" i="42"/>
  <c r="N218" i="42"/>
  <c r="N219" i="42"/>
  <c r="N220" i="42"/>
  <c r="N221" i="42"/>
  <c r="N222" i="42"/>
  <c r="N223" i="42"/>
  <c r="N224" i="42"/>
  <c r="N225" i="42"/>
  <c r="N226" i="42"/>
  <c r="N227" i="42"/>
  <c r="N228" i="42"/>
  <c r="N229" i="42"/>
  <c r="N230" i="42"/>
  <c r="N231" i="42"/>
  <c r="N232" i="42"/>
  <c r="N233" i="42"/>
  <c r="N234" i="42"/>
  <c r="N235" i="42"/>
  <c r="N236" i="42"/>
  <c r="N237" i="42"/>
  <c r="N238" i="42"/>
  <c r="N239" i="42"/>
  <c r="N240" i="42"/>
  <c r="N241" i="42"/>
  <c r="N242" i="42"/>
  <c r="N243" i="42"/>
  <c r="N244" i="42"/>
  <c r="N245" i="42"/>
  <c r="N246" i="42"/>
  <c r="N247" i="42"/>
  <c r="N248" i="42"/>
  <c r="N193" i="41"/>
  <c r="N194" i="41"/>
  <c r="N195" i="41"/>
  <c r="N196" i="41"/>
  <c r="N197" i="41"/>
  <c r="N198" i="41"/>
  <c r="N199" i="41"/>
  <c r="N200" i="41"/>
  <c r="N201" i="41"/>
  <c r="N202" i="41"/>
  <c r="N203" i="41"/>
  <c r="N204" i="41"/>
  <c r="N205" i="41"/>
  <c r="N206" i="41"/>
  <c r="N207" i="41"/>
  <c r="N208" i="41"/>
  <c r="N209" i="41"/>
  <c r="N210" i="41"/>
  <c r="N211" i="41"/>
  <c r="N212" i="41"/>
  <c r="N213" i="41"/>
  <c r="N214" i="41"/>
  <c r="N215" i="41"/>
  <c r="N216" i="41"/>
  <c r="N217" i="41"/>
  <c r="N218" i="41"/>
  <c r="N219" i="41"/>
  <c r="N220" i="41"/>
  <c r="N221" i="41"/>
  <c r="N222" i="41"/>
  <c r="N223" i="41"/>
  <c r="N224" i="41"/>
  <c r="N225" i="41"/>
  <c r="N226" i="41"/>
  <c r="N227" i="41"/>
  <c r="N228" i="41"/>
  <c r="N229" i="41"/>
  <c r="N230" i="41"/>
  <c r="N231" i="41"/>
  <c r="N232" i="41"/>
  <c r="N233" i="41"/>
  <c r="N234" i="41"/>
  <c r="N235" i="41"/>
  <c r="N236" i="41"/>
  <c r="N237" i="41"/>
  <c r="N238" i="41"/>
  <c r="N239" i="41"/>
  <c r="N240" i="41"/>
  <c r="N241" i="41"/>
  <c r="N242" i="41"/>
  <c r="N243" i="41"/>
  <c r="N244" i="41"/>
  <c r="N245" i="41"/>
  <c r="N246" i="41"/>
  <c r="N247" i="41"/>
  <c r="N248" i="41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193" i="39"/>
  <c r="N194" i="39"/>
  <c r="N195" i="39"/>
  <c r="N196" i="39"/>
  <c r="N197" i="39"/>
  <c r="N198" i="39"/>
  <c r="N199" i="39"/>
  <c r="N200" i="39"/>
  <c r="N201" i="39"/>
  <c r="N202" i="39"/>
  <c r="N203" i="39"/>
  <c r="N204" i="39"/>
  <c r="N205" i="39"/>
  <c r="N206" i="39"/>
  <c r="N207" i="39"/>
  <c r="N208" i="39"/>
  <c r="N209" i="39"/>
  <c r="N210" i="39"/>
  <c r="N211" i="39"/>
  <c r="N212" i="39"/>
  <c r="N213" i="39"/>
  <c r="N214" i="39"/>
  <c r="N215" i="39"/>
  <c r="N216" i="39"/>
  <c r="N217" i="39"/>
  <c r="N218" i="39"/>
  <c r="N219" i="39"/>
  <c r="N220" i="39"/>
  <c r="N221" i="39"/>
  <c r="N222" i="39"/>
  <c r="N223" i="39"/>
  <c r="N224" i="39"/>
  <c r="N225" i="39"/>
  <c r="N226" i="39"/>
  <c r="N227" i="39"/>
  <c r="N228" i="39"/>
  <c r="N229" i="39"/>
  <c r="N230" i="39"/>
  <c r="N231" i="39"/>
  <c r="N232" i="39"/>
  <c r="N233" i="39"/>
  <c r="N234" i="39"/>
  <c r="N235" i="39"/>
  <c r="N236" i="39"/>
  <c r="N237" i="39"/>
  <c r="N238" i="39"/>
  <c r="N239" i="39"/>
  <c r="N240" i="39"/>
  <c r="N241" i="39"/>
  <c r="N242" i="39"/>
  <c r="N243" i="39"/>
  <c r="N244" i="39"/>
  <c r="N245" i="39"/>
  <c r="N246" i="39"/>
  <c r="N247" i="39"/>
  <c r="N248" i="39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193" i="37"/>
  <c r="N194" i="37"/>
  <c r="N195" i="37"/>
  <c r="N196" i="37"/>
  <c r="N197" i="37"/>
  <c r="N198" i="37"/>
  <c r="N199" i="37"/>
  <c r="N200" i="37"/>
  <c r="N201" i="37"/>
  <c r="N202" i="37"/>
  <c r="N203" i="37"/>
  <c r="N204" i="37"/>
  <c r="N205" i="37"/>
  <c r="N206" i="37"/>
  <c r="N207" i="37"/>
  <c r="N208" i="37"/>
  <c r="N209" i="37"/>
  <c r="N210" i="37"/>
  <c r="N211" i="37"/>
  <c r="N212" i="37"/>
  <c r="N213" i="37"/>
  <c r="N214" i="37"/>
  <c r="N215" i="37"/>
  <c r="N216" i="37"/>
  <c r="N217" i="37"/>
  <c r="N218" i="37"/>
  <c r="N219" i="37"/>
  <c r="N220" i="37"/>
  <c r="N221" i="37"/>
  <c r="N222" i="37"/>
  <c r="N223" i="37"/>
  <c r="N224" i="37"/>
  <c r="N225" i="37"/>
  <c r="N226" i="37"/>
  <c r="N227" i="37"/>
  <c r="N228" i="37"/>
  <c r="N229" i="37"/>
  <c r="N230" i="37"/>
  <c r="N231" i="37"/>
  <c r="N232" i="37"/>
  <c r="N233" i="37"/>
  <c r="N234" i="37"/>
  <c r="N235" i="37"/>
  <c r="N236" i="37"/>
  <c r="N237" i="37"/>
  <c r="N238" i="37"/>
  <c r="N239" i="37"/>
  <c r="N240" i="37"/>
  <c r="N241" i="37"/>
  <c r="N242" i="37"/>
  <c r="N243" i="37"/>
  <c r="N244" i="37"/>
  <c r="N245" i="37"/>
  <c r="N246" i="37"/>
  <c r="N247" i="37"/>
  <c r="N248" i="37"/>
  <c r="N97" i="17"/>
  <c r="AF97" i="37"/>
  <c r="AF98" i="37"/>
  <c r="AF99" i="37"/>
  <c r="AF100" i="37"/>
  <c r="AF101" i="37"/>
  <c r="AF102" i="37"/>
  <c r="AF103" i="37"/>
  <c r="AF104" i="37"/>
  <c r="AF105" i="37"/>
  <c r="AF106" i="37"/>
  <c r="AF107" i="37"/>
  <c r="AF108" i="37"/>
  <c r="AF109" i="37"/>
  <c r="AF110" i="37"/>
  <c r="AF111" i="37"/>
  <c r="AF112" i="37"/>
  <c r="AF113" i="37"/>
  <c r="AF114" i="37"/>
  <c r="N143" i="17" l="1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P98" i="17" l="1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97" i="17"/>
  <c r="Q113" i="48" l="1"/>
  <c r="Q113" i="47"/>
  <c r="Q113" i="54"/>
  <c r="Q113" i="52"/>
  <c r="Q113" i="50"/>
  <c r="Q113" i="49"/>
  <c r="Q113" i="55"/>
  <c r="Q113" i="53"/>
  <c r="Q113" i="51"/>
  <c r="Q113" i="46"/>
  <c r="Q113" i="45"/>
  <c r="Q113" i="44"/>
  <c r="Q113" i="43"/>
  <c r="Q113" i="41"/>
  <c r="Q113" i="40"/>
  <c r="Q113" i="39"/>
  <c r="Q113" i="38"/>
  <c r="Q113" i="37"/>
  <c r="Q103" i="54"/>
  <c r="Q103" i="52"/>
  <c r="Q103" i="50"/>
  <c r="Q103" i="48"/>
  <c r="Q103" i="47"/>
  <c r="Q103" i="55"/>
  <c r="Q103" i="53"/>
  <c r="Q103" i="51"/>
  <c r="Q103" i="49"/>
  <c r="Q103" i="46"/>
  <c r="Q103" i="45"/>
  <c r="Q103" i="44"/>
  <c r="Q103" i="43"/>
  <c r="Q103" i="41"/>
  <c r="Q103" i="40"/>
  <c r="Q103" i="39"/>
  <c r="Q103" i="38"/>
  <c r="Q103" i="37"/>
  <c r="Q129" i="54"/>
  <c r="Q129" i="52"/>
  <c r="Q129" i="50"/>
  <c r="Q129" i="48"/>
  <c r="Q129" i="47"/>
  <c r="Q129" i="55"/>
  <c r="Q129" i="53"/>
  <c r="Q129" i="51"/>
  <c r="Q129" i="49"/>
  <c r="Q129" i="46"/>
  <c r="Q129" i="45"/>
  <c r="Q129" i="44"/>
  <c r="Q129" i="43"/>
  <c r="Q129" i="41"/>
  <c r="Q129" i="40"/>
  <c r="Q129" i="39"/>
  <c r="Q129" i="38"/>
  <c r="Q129" i="37"/>
  <c r="Q136" i="55"/>
  <c r="Q136" i="54"/>
  <c r="Q136" i="53"/>
  <c r="Q136" i="52"/>
  <c r="Q136" i="51"/>
  <c r="Q136" i="50"/>
  <c r="Q136" i="49"/>
  <c r="Q136" i="48"/>
  <c r="Q136" i="47"/>
  <c r="Q136" i="46"/>
  <c r="Q136" i="45"/>
  <c r="Q136" i="44"/>
  <c r="Q136" i="43"/>
  <c r="Q136" i="41"/>
  <c r="Q136" i="37"/>
  <c r="Q136" i="40"/>
  <c r="Q136" i="39"/>
  <c r="Q136" i="38"/>
  <c r="Q112" i="55"/>
  <c r="Q112" i="54"/>
  <c r="Q112" i="53"/>
  <c r="Q112" i="52"/>
  <c r="Q112" i="51"/>
  <c r="Q112" i="50"/>
  <c r="Q112" i="49"/>
  <c r="Q112" i="48"/>
  <c r="Q112" i="46"/>
  <c r="Q112" i="45"/>
  <c r="Q112" i="44"/>
  <c r="Q112" i="43"/>
  <c r="Q112" i="41"/>
  <c r="Q112" i="47"/>
  <c r="Q112" i="37"/>
  <c r="Q112" i="40"/>
  <c r="Q112" i="39"/>
  <c r="Q112" i="38"/>
  <c r="Q97" i="55"/>
  <c r="Q97" i="53"/>
  <c r="Q97" i="51"/>
  <c r="Q97" i="48"/>
  <c r="Q97" i="47"/>
  <c r="Q97" i="49"/>
  <c r="Q97" i="54"/>
  <c r="Q97" i="52"/>
  <c r="Q97" i="46"/>
  <c r="Q97" i="45"/>
  <c r="Q97" i="44"/>
  <c r="Q97" i="43"/>
  <c r="Q97" i="41"/>
  <c r="Q97" i="50"/>
  <c r="Q97" i="40"/>
  <c r="Q97" i="39"/>
  <c r="Q97" i="38"/>
  <c r="Q97" i="37"/>
  <c r="Q119" i="55"/>
  <c r="Q119" i="53"/>
  <c r="Q119" i="51"/>
  <c r="Q119" i="48"/>
  <c r="Q119" i="47"/>
  <c r="Q119" i="54"/>
  <c r="Q119" i="52"/>
  <c r="Q119" i="46"/>
  <c r="Q119" i="45"/>
  <c r="Q119" i="44"/>
  <c r="Q119" i="43"/>
  <c r="Q119" i="41"/>
  <c r="Q119" i="49"/>
  <c r="Q119" i="50"/>
  <c r="Q119" i="40"/>
  <c r="Q119" i="39"/>
  <c r="Q119" i="38"/>
  <c r="Q119" i="37"/>
  <c r="Q134" i="54"/>
  <c r="Q134" i="52"/>
  <c r="Q134" i="50"/>
  <c r="Q134" i="46"/>
  <c r="Q134" i="45"/>
  <c r="Q134" i="44"/>
  <c r="Q134" i="43"/>
  <c r="Q134" i="49"/>
  <c r="Q134" i="48"/>
  <c r="Q134" i="53"/>
  <c r="Q134" i="51"/>
  <c r="Q134" i="47"/>
  <c r="Q134" i="40"/>
  <c r="Q134" i="39"/>
  <c r="Q134" i="38"/>
  <c r="Q134" i="37"/>
  <c r="Q134" i="41"/>
  <c r="Q134" i="55"/>
  <c r="Q110" i="54"/>
  <c r="Q110" i="52"/>
  <c r="Q110" i="50"/>
  <c r="Q110" i="49"/>
  <c r="Q110" i="55"/>
  <c r="Q110" i="53"/>
  <c r="Q110" i="51"/>
  <c r="Q110" i="47"/>
  <c r="Q110" i="46"/>
  <c r="Q110" i="45"/>
  <c r="Q110" i="44"/>
  <c r="Q110" i="48"/>
  <c r="Q110" i="40"/>
  <c r="Q110" i="39"/>
  <c r="Q110" i="38"/>
  <c r="Q110" i="37"/>
  <c r="Q110" i="43"/>
  <c r="Q110" i="41"/>
  <c r="Q141" i="55"/>
  <c r="Q141" i="54"/>
  <c r="Q141" i="53"/>
  <c r="Q141" i="52"/>
  <c r="Q141" i="51"/>
  <c r="Q141" i="50"/>
  <c r="Q141" i="49"/>
  <c r="Q141" i="48"/>
  <c r="Q141" i="47"/>
  <c r="Q141" i="40"/>
  <c r="Q141" i="41"/>
  <c r="Q141" i="46"/>
  <c r="Q141" i="44"/>
  <c r="Q141" i="39"/>
  <c r="Q141" i="38"/>
  <c r="Q141" i="37"/>
  <c r="Q141" i="45"/>
  <c r="Q141" i="43"/>
  <c r="Q117" i="55"/>
  <c r="Q117" i="54"/>
  <c r="Q117" i="53"/>
  <c r="Q117" i="52"/>
  <c r="Q117" i="51"/>
  <c r="Q117" i="50"/>
  <c r="Q117" i="49"/>
  <c r="Q117" i="48"/>
  <c r="Q117" i="47"/>
  <c r="Q117" i="39"/>
  <c r="Q117" i="40"/>
  <c r="Q117" i="45"/>
  <c r="Q117" i="43"/>
  <c r="Q117" i="38"/>
  <c r="Q117" i="37"/>
  <c r="Q117" i="46"/>
  <c r="Q117" i="44"/>
  <c r="Q117" i="41"/>
  <c r="Q124" i="48"/>
  <c r="Q124" i="47"/>
  <c r="Q124" i="55"/>
  <c r="Q124" i="53"/>
  <c r="Q124" i="51"/>
  <c r="Q124" i="54"/>
  <c r="Q124" i="52"/>
  <c r="Q124" i="50"/>
  <c r="Q124" i="46"/>
  <c r="Q124" i="45"/>
  <c r="Q124" i="44"/>
  <c r="Q124" i="43"/>
  <c r="Q124" i="49"/>
  <c r="Q124" i="40"/>
  <c r="Q124" i="39"/>
  <c r="Q124" i="38"/>
  <c r="Q124" i="37"/>
  <c r="Q124" i="41"/>
  <c r="Q100" i="48"/>
  <c r="R29" i="48" s="1"/>
  <c r="Q100" i="47"/>
  <c r="R29" i="47" s="1"/>
  <c r="Q100" i="55"/>
  <c r="R29" i="55" s="1"/>
  <c r="Q100" i="53"/>
  <c r="R29" i="53" s="1"/>
  <c r="Q100" i="51"/>
  <c r="R29" i="51" s="1"/>
  <c r="Q100" i="49"/>
  <c r="R29" i="49" s="1"/>
  <c r="Q100" i="54"/>
  <c r="R29" i="54" s="1"/>
  <c r="Q100" i="52"/>
  <c r="R29" i="52" s="1"/>
  <c r="Q100" i="46"/>
  <c r="R29" i="46" s="1"/>
  <c r="Q100" i="45"/>
  <c r="R29" i="45" s="1"/>
  <c r="Q100" i="44"/>
  <c r="R29" i="44" s="1"/>
  <c r="Q100" i="43"/>
  <c r="R29" i="43" s="1"/>
  <c r="Q100" i="50"/>
  <c r="R29" i="50" s="1"/>
  <c r="Q100" i="37"/>
  <c r="R29" i="37" s="1"/>
  <c r="Q100" i="40"/>
  <c r="R29" i="40" s="1"/>
  <c r="Q100" i="39"/>
  <c r="R29" i="39" s="1"/>
  <c r="Q100" i="38"/>
  <c r="R29" i="38" s="1"/>
  <c r="Q100" i="41"/>
  <c r="R29" i="41" s="1"/>
  <c r="Q121" i="48"/>
  <c r="Q121" i="47"/>
  <c r="Q121" i="55"/>
  <c r="Q121" i="53"/>
  <c r="Q121" i="51"/>
  <c r="Q121" i="49"/>
  <c r="Q121" i="52"/>
  <c r="Q121" i="46"/>
  <c r="Q121" i="45"/>
  <c r="Q121" i="44"/>
  <c r="Q121" i="43"/>
  <c r="Q121" i="41"/>
  <c r="Q121" i="54"/>
  <c r="Q121" i="40"/>
  <c r="Q121" i="39"/>
  <c r="Q121" i="38"/>
  <c r="Q121" i="37"/>
  <c r="Q121" i="50"/>
  <c r="Q128" i="55"/>
  <c r="Q128" i="54"/>
  <c r="Q128" i="53"/>
  <c r="Q128" i="52"/>
  <c r="Q128" i="51"/>
  <c r="Q128" i="50"/>
  <c r="Q128" i="49"/>
  <c r="Q128" i="47"/>
  <c r="Q128" i="46"/>
  <c r="Q128" i="45"/>
  <c r="Q128" i="44"/>
  <c r="Q128" i="43"/>
  <c r="Q128" i="41"/>
  <c r="Q128" i="48"/>
  <c r="Q128" i="40"/>
  <c r="Q128" i="39"/>
  <c r="Q128" i="38"/>
  <c r="Q128" i="37"/>
  <c r="Q104" i="55"/>
  <c r="Q104" i="54"/>
  <c r="Q104" i="53"/>
  <c r="Q104" i="52"/>
  <c r="Q104" i="51"/>
  <c r="Q104" i="50"/>
  <c r="Q104" i="47"/>
  <c r="Q104" i="49"/>
  <c r="Q104" i="48"/>
  <c r="Q104" i="46"/>
  <c r="Q104" i="45"/>
  <c r="Q104" i="44"/>
  <c r="Q104" i="43"/>
  <c r="Q104" i="41"/>
  <c r="Q104" i="37"/>
  <c r="Q104" i="38"/>
  <c r="Q104" i="40"/>
  <c r="Q104" i="39"/>
  <c r="Q127" i="54"/>
  <c r="Q127" i="52"/>
  <c r="Q127" i="50"/>
  <c r="Q127" i="48"/>
  <c r="Q127" i="47"/>
  <c r="Q127" i="53"/>
  <c r="Q127" i="51"/>
  <c r="Q127" i="49"/>
  <c r="Q127" i="55"/>
  <c r="Q127" i="46"/>
  <c r="Q127" i="45"/>
  <c r="Q127" i="44"/>
  <c r="Q127" i="43"/>
  <c r="Q127" i="41"/>
  <c r="Q127" i="40"/>
  <c r="Q127" i="39"/>
  <c r="Q127" i="38"/>
  <c r="Q127" i="37"/>
  <c r="Q142" i="55"/>
  <c r="Q142" i="53"/>
  <c r="Q142" i="51"/>
  <c r="Q142" i="54"/>
  <c r="Q142" i="52"/>
  <c r="Q142" i="50"/>
  <c r="Q142" i="48"/>
  <c r="Q142" i="46"/>
  <c r="Q142" i="45"/>
  <c r="Q142" i="44"/>
  <c r="Q142" i="43"/>
  <c r="Q142" i="47"/>
  <c r="Q142" i="49"/>
  <c r="Q142" i="40"/>
  <c r="Q142" i="39"/>
  <c r="Q142" i="38"/>
  <c r="Q142" i="37"/>
  <c r="Q142" i="41"/>
  <c r="Q118" i="54"/>
  <c r="Q118" i="52"/>
  <c r="Q118" i="50"/>
  <c r="Q118" i="49"/>
  <c r="Q118" i="55"/>
  <c r="Q118" i="53"/>
  <c r="Q118" i="46"/>
  <c r="Q118" i="45"/>
  <c r="Q118" i="44"/>
  <c r="Q118" i="48"/>
  <c r="Q118" i="51"/>
  <c r="Q118" i="47"/>
  <c r="Q118" i="40"/>
  <c r="Q118" i="39"/>
  <c r="Q118" i="38"/>
  <c r="Q118" i="37"/>
  <c r="Q118" i="41"/>
  <c r="Q118" i="43"/>
  <c r="Q133" i="55"/>
  <c r="Q133" i="54"/>
  <c r="Q133" i="53"/>
  <c r="Q133" i="52"/>
  <c r="Q133" i="51"/>
  <c r="Q133" i="50"/>
  <c r="Q133" i="49"/>
  <c r="Q133" i="48"/>
  <c r="Q133" i="47"/>
  <c r="Q133" i="45"/>
  <c r="Q133" i="43"/>
  <c r="Q133" i="39"/>
  <c r="Q133" i="40"/>
  <c r="Q133" i="38"/>
  <c r="Q133" i="37"/>
  <c r="Q133" i="46"/>
  <c r="Q133" i="44"/>
  <c r="Q133" i="41"/>
  <c r="Q109" i="55"/>
  <c r="Q109" i="54"/>
  <c r="Q109" i="53"/>
  <c r="Q109" i="52"/>
  <c r="Q109" i="51"/>
  <c r="Q109" i="50"/>
  <c r="Q109" i="49"/>
  <c r="Q109" i="48"/>
  <c r="Q109" i="47"/>
  <c r="Q109" i="38"/>
  <c r="Q109" i="37"/>
  <c r="Q109" i="41"/>
  <c r="Q109" i="45"/>
  <c r="Q109" i="39"/>
  <c r="Q109" i="40"/>
  <c r="Q109" i="43"/>
  <c r="Q109" i="46"/>
  <c r="Q109" i="44"/>
  <c r="Q140" i="55"/>
  <c r="Q140" i="53"/>
  <c r="Q140" i="51"/>
  <c r="Q140" i="48"/>
  <c r="Q140" i="47"/>
  <c r="Q140" i="49"/>
  <c r="Q140" i="46"/>
  <c r="Q140" i="45"/>
  <c r="Q140" i="44"/>
  <c r="Q140" i="43"/>
  <c r="Q140" i="52"/>
  <c r="Q140" i="40"/>
  <c r="Q140" i="39"/>
  <c r="Q140" i="38"/>
  <c r="Q140" i="37"/>
  <c r="Q140" i="54"/>
  <c r="Q140" i="50"/>
  <c r="Q140" i="41"/>
  <c r="Q116" i="55"/>
  <c r="Q116" i="53"/>
  <c r="Q116" i="51"/>
  <c r="Q116" i="48"/>
  <c r="Q116" i="47"/>
  <c r="Q116" i="54"/>
  <c r="Q116" i="52"/>
  <c r="Q116" i="50"/>
  <c r="Q116" i="49"/>
  <c r="Q116" i="46"/>
  <c r="Q116" i="45"/>
  <c r="Q116" i="44"/>
  <c r="Q116" i="43"/>
  <c r="Q116" i="37"/>
  <c r="Q116" i="40"/>
  <c r="Q116" i="39"/>
  <c r="Q116" i="38"/>
  <c r="Q116" i="41"/>
  <c r="Q139" i="54"/>
  <c r="Q139" i="52"/>
  <c r="Q139" i="50"/>
  <c r="Q139" i="49"/>
  <c r="Q139" i="55"/>
  <c r="Q139" i="53"/>
  <c r="Q139" i="51"/>
  <c r="Q139" i="47"/>
  <c r="Q139" i="46"/>
  <c r="Q139" i="45"/>
  <c r="Q139" i="44"/>
  <c r="Q139" i="43"/>
  <c r="Q139" i="41"/>
  <c r="Q139" i="37"/>
  <c r="Q139" i="48"/>
  <c r="Q139" i="40"/>
  <c r="Q139" i="39"/>
  <c r="Q139" i="38"/>
  <c r="Q123" i="55"/>
  <c r="Q123" i="53"/>
  <c r="Q123" i="51"/>
  <c r="Q123" i="49"/>
  <c r="Q123" i="54"/>
  <c r="Q123" i="52"/>
  <c r="Q123" i="50"/>
  <c r="Q123" i="48"/>
  <c r="Q123" i="47"/>
  <c r="Q123" i="46"/>
  <c r="Q123" i="45"/>
  <c r="Q123" i="44"/>
  <c r="Q123" i="43"/>
  <c r="Q123" i="41"/>
  <c r="Q123" i="37"/>
  <c r="Q123" i="40"/>
  <c r="Q123" i="39"/>
  <c r="Q123" i="38"/>
  <c r="Q115" i="54"/>
  <c r="Q115" i="52"/>
  <c r="Q115" i="50"/>
  <c r="Q115" i="49"/>
  <c r="Q115" i="53"/>
  <c r="Q115" i="47"/>
  <c r="Q115" i="55"/>
  <c r="Q115" i="51"/>
  <c r="Q115" i="48"/>
  <c r="Q115" i="46"/>
  <c r="Q115" i="45"/>
  <c r="Q115" i="44"/>
  <c r="Q115" i="43"/>
  <c r="Q115" i="41"/>
  <c r="Q115" i="37"/>
  <c r="Q115" i="40"/>
  <c r="Q115" i="39"/>
  <c r="Q115" i="38"/>
  <c r="Q107" i="49"/>
  <c r="Q107" i="55"/>
  <c r="Q107" i="53"/>
  <c r="Q107" i="51"/>
  <c r="Q107" i="54"/>
  <c r="Q107" i="52"/>
  <c r="Q107" i="48"/>
  <c r="Q107" i="50"/>
  <c r="Q107" i="46"/>
  <c r="Q107" i="45"/>
  <c r="Q107" i="44"/>
  <c r="Q107" i="43"/>
  <c r="Q107" i="41"/>
  <c r="Q107" i="38"/>
  <c r="Q107" i="47"/>
  <c r="Q107" i="40"/>
  <c r="Q107" i="39"/>
  <c r="Q107" i="37"/>
  <c r="Q99" i="54"/>
  <c r="Q99" i="52"/>
  <c r="Q99" i="50"/>
  <c r="Q99" i="55"/>
  <c r="Q99" i="53"/>
  <c r="Q99" i="47"/>
  <c r="Q99" i="49"/>
  <c r="Q99" i="48"/>
  <c r="Q99" i="51"/>
  <c r="Q99" i="46"/>
  <c r="Q99" i="45"/>
  <c r="Q99" i="44"/>
  <c r="Q99" i="43"/>
  <c r="Q99" i="41"/>
  <c r="Q99" i="38"/>
  <c r="Q99" i="40"/>
  <c r="Q99" i="39"/>
  <c r="Q99" i="37"/>
  <c r="Q137" i="48"/>
  <c r="Q137" i="47"/>
  <c r="Q137" i="54"/>
  <c r="Q137" i="52"/>
  <c r="Q137" i="50"/>
  <c r="Q137" i="55"/>
  <c r="Q137" i="53"/>
  <c r="Q137" i="46"/>
  <c r="Q137" i="45"/>
  <c r="Q137" i="44"/>
  <c r="Q137" i="43"/>
  <c r="Q137" i="41"/>
  <c r="Q137" i="51"/>
  <c r="Q137" i="40"/>
  <c r="Q137" i="39"/>
  <c r="Q137" i="38"/>
  <c r="Q137" i="37"/>
  <c r="Q137" i="49"/>
  <c r="Q105" i="48"/>
  <c r="Q105" i="47"/>
  <c r="Q105" i="49"/>
  <c r="Q105" i="55"/>
  <c r="Q105" i="53"/>
  <c r="Q105" i="51"/>
  <c r="Q105" i="54"/>
  <c r="Q105" i="52"/>
  <c r="Q105" i="50"/>
  <c r="Q105" i="46"/>
  <c r="Q105" i="45"/>
  <c r="Q105" i="44"/>
  <c r="Q105" i="43"/>
  <c r="Q105" i="41"/>
  <c r="Q105" i="40"/>
  <c r="Q105" i="39"/>
  <c r="Q105" i="38"/>
  <c r="Q105" i="37"/>
  <c r="Q120" i="55"/>
  <c r="Q120" i="54"/>
  <c r="Q120" i="53"/>
  <c r="Q120" i="52"/>
  <c r="Q120" i="51"/>
  <c r="Q120" i="50"/>
  <c r="Q120" i="49"/>
  <c r="Q120" i="48"/>
  <c r="Q120" i="47"/>
  <c r="Q120" i="46"/>
  <c r="Q120" i="45"/>
  <c r="Q120" i="44"/>
  <c r="Q120" i="43"/>
  <c r="Q120" i="41"/>
  <c r="Q120" i="38"/>
  <c r="Q120" i="37"/>
  <c r="Q120" i="40"/>
  <c r="Q120" i="39"/>
  <c r="Q135" i="55"/>
  <c r="Q135" i="53"/>
  <c r="Q135" i="51"/>
  <c r="Q135" i="49"/>
  <c r="Q135" i="48"/>
  <c r="Q135" i="47"/>
  <c r="Q135" i="54"/>
  <c r="Q135" i="52"/>
  <c r="Q135" i="50"/>
  <c r="Q135" i="46"/>
  <c r="Q135" i="45"/>
  <c r="Q135" i="44"/>
  <c r="Q135" i="43"/>
  <c r="Q135" i="41"/>
  <c r="Q135" i="40"/>
  <c r="Q135" i="39"/>
  <c r="Q135" i="38"/>
  <c r="Q135" i="37"/>
  <c r="Q111" i="48"/>
  <c r="Q111" i="47"/>
  <c r="Q111" i="54"/>
  <c r="Q111" i="52"/>
  <c r="Q111" i="50"/>
  <c r="Q111" i="55"/>
  <c r="Q111" i="53"/>
  <c r="Q111" i="46"/>
  <c r="Q111" i="45"/>
  <c r="Q111" i="44"/>
  <c r="Q111" i="43"/>
  <c r="Q111" i="41"/>
  <c r="Q111" i="51"/>
  <c r="Q111" i="49"/>
  <c r="Q111" i="40"/>
  <c r="Q111" i="39"/>
  <c r="Q111" i="38"/>
  <c r="Q111" i="37"/>
  <c r="Q126" i="55"/>
  <c r="Q126" i="53"/>
  <c r="Q126" i="51"/>
  <c r="Q126" i="49"/>
  <c r="Q126" i="54"/>
  <c r="Q126" i="52"/>
  <c r="Q126" i="46"/>
  <c r="Q126" i="45"/>
  <c r="Q126" i="44"/>
  <c r="Q126" i="47"/>
  <c r="Q126" i="48"/>
  <c r="Q126" i="50"/>
  <c r="Q126" i="40"/>
  <c r="Q126" i="39"/>
  <c r="Q126" i="38"/>
  <c r="Q126" i="37"/>
  <c r="Q126" i="41"/>
  <c r="Q126" i="43"/>
  <c r="Q102" i="55"/>
  <c r="Q102" i="53"/>
  <c r="Q102" i="51"/>
  <c r="Q102" i="49"/>
  <c r="Q102" i="46"/>
  <c r="Q102" i="45"/>
  <c r="Q102" i="44"/>
  <c r="Q102" i="47"/>
  <c r="Q102" i="52"/>
  <c r="Q102" i="54"/>
  <c r="Q102" i="48"/>
  <c r="Q102" i="50"/>
  <c r="Q102" i="40"/>
  <c r="Q102" i="39"/>
  <c r="Q102" i="38"/>
  <c r="Q102" i="37"/>
  <c r="Q102" i="41"/>
  <c r="Q102" i="43"/>
  <c r="Q125" i="55"/>
  <c r="Q125" i="54"/>
  <c r="Q125" i="53"/>
  <c r="Q125" i="52"/>
  <c r="Q125" i="51"/>
  <c r="Q125" i="50"/>
  <c r="Q125" i="49"/>
  <c r="Q125" i="48"/>
  <c r="Q125" i="47"/>
  <c r="Q125" i="45"/>
  <c r="Q125" i="40"/>
  <c r="Q125" i="38"/>
  <c r="Q125" i="43"/>
  <c r="Q125" i="41"/>
  <c r="Q125" i="39"/>
  <c r="Q125" i="37"/>
  <c r="Q125" i="46"/>
  <c r="Q125" i="44"/>
  <c r="Q101" i="55"/>
  <c r="Q101" i="54"/>
  <c r="Q101" i="53"/>
  <c r="Q101" i="52"/>
  <c r="Q101" i="51"/>
  <c r="Q101" i="50"/>
  <c r="Q101" i="49"/>
  <c r="Q101" i="48"/>
  <c r="Q101" i="47"/>
  <c r="Q101" i="46"/>
  <c r="Q101" i="44"/>
  <c r="Q101" i="43"/>
  <c r="Q101" i="40"/>
  <c r="Q101" i="39"/>
  <c r="Q101" i="37"/>
  <c r="Q101" i="38"/>
  <c r="Q101" i="45"/>
  <c r="Q101" i="41"/>
  <c r="Q132" i="48"/>
  <c r="Q132" i="47"/>
  <c r="Q132" i="54"/>
  <c r="Q132" i="52"/>
  <c r="Q132" i="50"/>
  <c r="Q132" i="55"/>
  <c r="Q132" i="53"/>
  <c r="Q132" i="51"/>
  <c r="Q132" i="46"/>
  <c r="Q132" i="45"/>
  <c r="Q132" i="44"/>
  <c r="Q132" i="43"/>
  <c r="Q132" i="49"/>
  <c r="Q132" i="40"/>
  <c r="Q132" i="39"/>
  <c r="Q132" i="38"/>
  <c r="Q132" i="37"/>
  <c r="Q132" i="41"/>
  <c r="Q108" i="54"/>
  <c r="Q108" i="52"/>
  <c r="Q108" i="50"/>
  <c r="Q108" i="48"/>
  <c r="Q108" i="47"/>
  <c r="Q108" i="49"/>
  <c r="Q108" i="55"/>
  <c r="Q108" i="51"/>
  <c r="Q108" i="46"/>
  <c r="Q108" i="45"/>
  <c r="Q108" i="44"/>
  <c r="Q108" i="43"/>
  <c r="Q108" i="53"/>
  <c r="Q108" i="37"/>
  <c r="Q108" i="40"/>
  <c r="Q108" i="39"/>
  <c r="Q108" i="38"/>
  <c r="Q108" i="41"/>
  <c r="Q131" i="55"/>
  <c r="Q131" i="53"/>
  <c r="Q131" i="51"/>
  <c r="Q131" i="49"/>
  <c r="Q131" i="54"/>
  <c r="Q131" i="52"/>
  <c r="Q131" i="48"/>
  <c r="Q131" i="50"/>
  <c r="Q131" i="47"/>
  <c r="Q131" i="46"/>
  <c r="Q131" i="45"/>
  <c r="Q131" i="44"/>
  <c r="Q131" i="43"/>
  <c r="Q131" i="41"/>
  <c r="Q131" i="40"/>
  <c r="Q131" i="39"/>
  <c r="Q131" i="38"/>
  <c r="Q131" i="37"/>
  <c r="Q138" i="55"/>
  <c r="Q138" i="54"/>
  <c r="Q138" i="53"/>
  <c r="Q138" i="52"/>
  <c r="Q138" i="51"/>
  <c r="Q138" i="50"/>
  <c r="Q138" i="49"/>
  <c r="Q138" i="48"/>
  <c r="Q138" i="47"/>
  <c r="Q138" i="46"/>
  <c r="Q138" i="45"/>
  <c r="Q138" i="44"/>
  <c r="Q138" i="43"/>
  <c r="Q138" i="41"/>
  <c r="Q138" i="38"/>
  <c r="Q138" i="37"/>
  <c r="Q138" i="40"/>
  <c r="Q138" i="39"/>
  <c r="Q130" i="55"/>
  <c r="Q130" i="54"/>
  <c r="Q130" i="53"/>
  <c r="Q130" i="52"/>
  <c r="Q130" i="51"/>
  <c r="Q130" i="50"/>
  <c r="Q130" i="49"/>
  <c r="Q130" i="48"/>
  <c r="Q130" i="47"/>
  <c r="Q130" i="46"/>
  <c r="Q130" i="45"/>
  <c r="Q130" i="44"/>
  <c r="Q130" i="43"/>
  <c r="Q130" i="37"/>
  <c r="Q130" i="38"/>
  <c r="Q130" i="41"/>
  <c r="Q130" i="40"/>
  <c r="Q130" i="39"/>
  <c r="Q122" i="55"/>
  <c r="Q122" i="54"/>
  <c r="Q122" i="53"/>
  <c r="Q122" i="52"/>
  <c r="Q122" i="51"/>
  <c r="Q122" i="50"/>
  <c r="Q122" i="48"/>
  <c r="Q122" i="47"/>
  <c r="Q122" i="46"/>
  <c r="Q122" i="45"/>
  <c r="Q122" i="44"/>
  <c r="Q122" i="43"/>
  <c r="Q122" i="49"/>
  <c r="Q122" i="41"/>
  <c r="Q122" i="38"/>
  <c r="Q122" i="40"/>
  <c r="Q122" i="39"/>
  <c r="Q122" i="37"/>
  <c r="Q114" i="55"/>
  <c r="Q114" i="54"/>
  <c r="Q114" i="53"/>
  <c r="Q114" i="52"/>
  <c r="Q114" i="51"/>
  <c r="Q114" i="50"/>
  <c r="Q114" i="48"/>
  <c r="Q114" i="47"/>
  <c r="Q114" i="49"/>
  <c r="Q114" i="46"/>
  <c r="Q114" i="45"/>
  <c r="Q114" i="44"/>
  <c r="Q114" i="43"/>
  <c r="Q114" i="38"/>
  <c r="Q114" i="39"/>
  <c r="Q114" i="41"/>
  <c r="Q114" i="40"/>
  <c r="Q114" i="37"/>
  <c r="Q106" i="55"/>
  <c r="Q106" i="54"/>
  <c r="Q106" i="53"/>
  <c r="Q106" i="52"/>
  <c r="Q106" i="51"/>
  <c r="Q106" i="50"/>
  <c r="Q106" i="48"/>
  <c r="Q106" i="47"/>
  <c r="Q106" i="49"/>
  <c r="Q106" i="46"/>
  <c r="Q106" i="45"/>
  <c r="Q106" i="44"/>
  <c r="Q106" i="41"/>
  <c r="Q106" i="38"/>
  <c r="Q106" i="43"/>
  <c r="Q106" i="37"/>
  <c r="Q106" i="40"/>
  <c r="Q106" i="39"/>
  <c r="Q98" i="55"/>
  <c r="Q98" i="54"/>
  <c r="Q98" i="53"/>
  <c r="Q98" i="52"/>
  <c r="Q98" i="51"/>
  <c r="Q98" i="50"/>
  <c r="Q98" i="48"/>
  <c r="Q98" i="47"/>
  <c r="Q98" i="49"/>
  <c r="Q98" i="46"/>
  <c r="Q98" i="45"/>
  <c r="Q98" i="44"/>
  <c r="Q98" i="37"/>
  <c r="Q98" i="38"/>
  <c r="Q98" i="41"/>
  <c r="Q98" i="40"/>
  <c r="Q98" i="39"/>
  <c r="Q98" i="43"/>
  <c r="Q142" i="17"/>
  <c r="N12" i="63"/>
  <c r="I103" i="63"/>
  <c r="E63" i="63"/>
  <c r="R62" i="63"/>
  <c r="E62" i="63"/>
  <c r="U29" i="63"/>
  <c r="Q29" i="63"/>
  <c r="N19" i="63"/>
  <c r="N16" i="63"/>
  <c r="N89" i="63"/>
  <c r="R33" i="62"/>
  <c r="E34" i="62"/>
  <c r="E33" i="62"/>
  <c r="U30" i="62"/>
  <c r="Q30" i="62"/>
  <c r="U29" i="62"/>
  <c r="Q29" i="62"/>
  <c r="I79" i="62"/>
  <c r="L28" i="46"/>
  <c r="Q141" i="17"/>
  <c r="J26" i="17"/>
  <c r="N20" i="63"/>
  <c r="AW53" i="17"/>
  <c r="D313" i="56"/>
  <c r="E313" i="56" s="1"/>
  <c r="F313" i="56" s="1"/>
  <c r="I24" i="52"/>
  <c r="J24" i="52" s="1"/>
  <c r="K24" i="52" s="1"/>
  <c r="L24" i="52" s="1"/>
  <c r="M24" i="52" s="1"/>
  <c r="N31" i="52" s="1"/>
  <c r="I24" i="51"/>
  <c r="J24" i="51" s="1"/>
  <c r="K24" i="51" s="1"/>
  <c r="L24" i="51" s="1"/>
  <c r="M24" i="51" s="1"/>
  <c r="N31" i="51" s="1"/>
  <c r="I24" i="50"/>
  <c r="J24" i="50" s="1"/>
  <c r="K24" i="50" s="1"/>
  <c r="L24" i="50" s="1"/>
  <c r="M24" i="50" s="1"/>
  <c r="N31" i="50" s="1"/>
  <c r="D211" i="56"/>
  <c r="E211" i="56" s="1"/>
  <c r="F211" i="56" s="1"/>
  <c r="I24" i="45"/>
  <c r="J24" i="45" s="1"/>
  <c r="K24" i="45" s="1"/>
  <c r="L24" i="45" s="1"/>
  <c r="M24" i="45" s="1"/>
  <c r="N31" i="45" s="1"/>
  <c r="D109" i="56"/>
  <c r="E109" i="56" s="1"/>
  <c r="F109" i="56" s="1"/>
  <c r="D92" i="56"/>
  <c r="E92" i="56" s="1"/>
  <c r="F92" i="56" s="1"/>
  <c r="I24" i="38"/>
  <c r="J24" i="38" s="1"/>
  <c r="K24" i="38" s="1"/>
  <c r="L24" i="38" s="1"/>
  <c r="M24" i="38" s="1"/>
  <c r="N31" i="38" s="1"/>
  <c r="C16" i="17"/>
  <c r="D41" i="56"/>
  <c r="E41" i="56" s="1"/>
  <c r="F41" i="56" s="1"/>
  <c r="L43" i="42"/>
  <c r="I26" i="53"/>
  <c r="J26" i="53"/>
  <c r="K26" i="53"/>
  <c r="L26" i="53"/>
  <c r="I27" i="53"/>
  <c r="J27" i="53"/>
  <c r="K27" i="53"/>
  <c r="L27" i="53"/>
  <c r="I28" i="53"/>
  <c r="J28" i="53"/>
  <c r="K28" i="53"/>
  <c r="L28" i="53"/>
  <c r="J25" i="53"/>
  <c r="K25" i="53"/>
  <c r="L25" i="53"/>
  <c r="I25" i="53"/>
  <c r="Q140" i="17"/>
  <c r="I424" i="54"/>
  <c r="I423" i="54" s="1"/>
  <c r="J423" i="54" s="1"/>
  <c r="C7" i="52"/>
  <c r="I26" i="50"/>
  <c r="J26" i="50"/>
  <c r="K26" i="50"/>
  <c r="L26" i="50"/>
  <c r="I27" i="50"/>
  <c r="J27" i="50"/>
  <c r="K27" i="50"/>
  <c r="L27" i="50"/>
  <c r="I28" i="50"/>
  <c r="J28" i="50"/>
  <c r="K28" i="50"/>
  <c r="L28" i="50"/>
  <c r="J25" i="50"/>
  <c r="K25" i="50"/>
  <c r="L25" i="50"/>
  <c r="I25" i="50"/>
  <c r="I26" i="54"/>
  <c r="J26" i="54"/>
  <c r="K26" i="54"/>
  <c r="L26" i="54"/>
  <c r="I27" i="54"/>
  <c r="J27" i="54"/>
  <c r="K27" i="54"/>
  <c r="L27" i="54"/>
  <c r="I28" i="54"/>
  <c r="J28" i="54"/>
  <c r="K28" i="54"/>
  <c r="L28" i="54"/>
  <c r="J25" i="54"/>
  <c r="K25" i="54"/>
  <c r="L25" i="54"/>
  <c r="I25" i="54"/>
  <c r="I26" i="47"/>
  <c r="J26" i="47"/>
  <c r="K26" i="47"/>
  <c r="L26" i="47"/>
  <c r="I27" i="47"/>
  <c r="J27" i="47"/>
  <c r="K27" i="47"/>
  <c r="L27" i="47"/>
  <c r="I28" i="47"/>
  <c r="J28" i="47"/>
  <c r="K28" i="47"/>
  <c r="L28" i="47"/>
  <c r="J25" i="47"/>
  <c r="K25" i="47"/>
  <c r="L25" i="47"/>
  <c r="I25" i="47"/>
  <c r="I26" i="46"/>
  <c r="J26" i="46"/>
  <c r="K26" i="46"/>
  <c r="L26" i="46"/>
  <c r="I27" i="46"/>
  <c r="J27" i="46"/>
  <c r="K27" i="46"/>
  <c r="L27" i="46"/>
  <c r="I28" i="46"/>
  <c r="J28" i="46"/>
  <c r="K28" i="46"/>
  <c r="J25" i="46"/>
  <c r="K25" i="46"/>
  <c r="L25" i="46"/>
  <c r="I25" i="46"/>
  <c r="I26" i="45"/>
  <c r="J26" i="45"/>
  <c r="K26" i="45"/>
  <c r="L26" i="45"/>
  <c r="I27" i="45"/>
  <c r="J27" i="45"/>
  <c r="K27" i="45"/>
  <c r="L27" i="45"/>
  <c r="I28" i="45"/>
  <c r="J28" i="45"/>
  <c r="K28" i="45"/>
  <c r="L28" i="45"/>
  <c r="J25" i="45"/>
  <c r="K25" i="45"/>
  <c r="L25" i="45"/>
  <c r="I25" i="45"/>
  <c r="I26" i="44"/>
  <c r="J26" i="44"/>
  <c r="K26" i="44"/>
  <c r="L26" i="44"/>
  <c r="I27" i="44"/>
  <c r="J27" i="44"/>
  <c r="K27" i="44"/>
  <c r="L27" i="44"/>
  <c r="I28" i="44"/>
  <c r="J28" i="44"/>
  <c r="K28" i="44"/>
  <c r="L28" i="44"/>
  <c r="J25" i="44"/>
  <c r="K25" i="44"/>
  <c r="L25" i="44"/>
  <c r="I25" i="44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257" i="17"/>
  <c r="I26" i="39"/>
  <c r="J26" i="39"/>
  <c r="K26" i="39"/>
  <c r="L26" i="39"/>
  <c r="I27" i="39"/>
  <c r="J27" i="39"/>
  <c r="K27" i="39"/>
  <c r="L27" i="39"/>
  <c r="I28" i="39"/>
  <c r="J28" i="39"/>
  <c r="K28" i="39"/>
  <c r="L28" i="39"/>
  <c r="J25" i="39"/>
  <c r="K25" i="39"/>
  <c r="L25" i="39"/>
  <c r="I25" i="39"/>
  <c r="I26" i="41"/>
  <c r="J26" i="41"/>
  <c r="K26" i="41"/>
  <c r="L26" i="41"/>
  <c r="I27" i="41"/>
  <c r="J27" i="41"/>
  <c r="K27" i="41"/>
  <c r="L27" i="41"/>
  <c r="I28" i="41"/>
  <c r="J28" i="41"/>
  <c r="K28" i="41"/>
  <c r="L28" i="41"/>
  <c r="J25" i="41"/>
  <c r="K25" i="41"/>
  <c r="L25" i="41"/>
  <c r="I25" i="41"/>
  <c r="G211" i="56"/>
  <c r="AH172" i="17"/>
  <c r="AH173" i="17"/>
  <c r="AH174" i="17"/>
  <c r="AH175" i="17"/>
  <c r="AH176" i="17"/>
  <c r="AH177" i="17"/>
  <c r="AH179" i="17"/>
  <c r="AH180" i="17"/>
  <c r="AH181" i="17"/>
  <c r="AH182" i="17"/>
  <c r="AH183" i="17"/>
  <c r="AH184" i="17"/>
  <c r="AH185" i="17"/>
  <c r="AH186" i="17"/>
  <c r="AH187" i="17"/>
  <c r="AH188" i="17"/>
  <c r="AH189" i="17"/>
  <c r="AH190" i="17"/>
  <c r="AH191" i="17"/>
  <c r="AH192" i="17"/>
  <c r="AH193" i="17"/>
  <c r="AH194" i="17"/>
  <c r="AH195" i="17"/>
  <c r="AH196" i="17"/>
  <c r="AH197" i="17"/>
  <c r="AH198" i="17"/>
  <c r="AH199" i="17"/>
  <c r="AH200" i="17"/>
  <c r="AH201" i="17"/>
  <c r="AH202" i="17"/>
  <c r="AH203" i="17"/>
  <c r="AH204" i="17"/>
  <c r="AH205" i="17"/>
  <c r="AH206" i="17"/>
  <c r="AH207" i="17"/>
  <c r="AH208" i="17"/>
  <c r="AH209" i="17"/>
  <c r="AH210" i="17"/>
  <c r="AH211" i="17"/>
  <c r="AH212" i="17"/>
  <c r="AH213" i="17"/>
  <c r="AH214" i="17"/>
  <c r="AH215" i="17"/>
  <c r="AH216" i="17"/>
  <c r="AH217" i="17"/>
  <c r="AH218" i="17"/>
  <c r="AH219" i="17"/>
  <c r="AH220" i="17"/>
  <c r="AH221" i="17"/>
  <c r="AH222" i="17"/>
  <c r="AH223" i="17"/>
  <c r="AH224" i="17"/>
  <c r="AH225" i="17"/>
  <c r="AH226" i="17"/>
  <c r="AH227" i="17"/>
  <c r="AH228" i="17"/>
  <c r="AH229" i="17"/>
  <c r="AH230" i="17"/>
  <c r="AH231" i="17"/>
  <c r="AH232" i="17"/>
  <c r="AH233" i="17"/>
  <c r="AH234" i="17"/>
  <c r="AH235" i="17"/>
  <c r="AH236" i="17"/>
  <c r="AH237" i="17"/>
  <c r="AH238" i="17"/>
  <c r="AH239" i="17"/>
  <c r="AH240" i="17"/>
  <c r="AH241" i="17"/>
  <c r="AH242" i="17"/>
  <c r="AH243" i="17"/>
  <c r="AH244" i="17"/>
  <c r="AH245" i="17"/>
  <c r="AH246" i="17"/>
  <c r="AH247" i="17"/>
  <c r="AH248" i="17"/>
  <c r="AH249" i="17"/>
  <c r="AH250" i="17"/>
  <c r="AH251" i="17"/>
  <c r="AH252" i="17"/>
  <c r="AH253" i="17"/>
  <c r="AH254" i="17"/>
  <c r="AH255" i="17"/>
  <c r="AH256" i="17"/>
  <c r="AH257" i="17"/>
  <c r="AH171" i="17"/>
  <c r="D7" i="17"/>
  <c r="C7" i="17"/>
  <c r="Q137" i="17"/>
  <c r="Q138" i="17"/>
  <c r="Q139" i="17"/>
  <c r="I15" i="56"/>
  <c r="I352" i="17"/>
  <c r="I351" i="17" s="1"/>
  <c r="I369" i="17"/>
  <c r="F27" i="58"/>
  <c r="H48" i="63" s="1"/>
  <c r="E27" i="58"/>
  <c r="F26" i="58"/>
  <c r="H47" i="63" s="1"/>
  <c r="E26" i="58"/>
  <c r="F25" i="58"/>
  <c r="H46" i="63" s="1"/>
  <c r="E25" i="58"/>
  <c r="G46" i="63" s="1"/>
  <c r="F24" i="58"/>
  <c r="H45" i="63" s="1"/>
  <c r="E24" i="58"/>
  <c r="G45" i="63" s="1"/>
  <c r="F23" i="58"/>
  <c r="H44" i="63" s="1"/>
  <c r="E23" i="58"/>
  <c r="F22" i="58"/>
  <c r="H43" i="63" s="1"/>
  <c r="E22" i="58"/>
  <c r="F20" i="58"/>
  <c r="H41" i="63" s="1"/>
  <c r="F21" i="58"/>
  <c r="H42" i="63" s="1"/>
  <c r="E21" i="58"/>
  <c r="E20" i="58"/>
  <c r="G41" i="63" s="1"/>
  <c r="F19" i="58"/>
  <c r="H40" i="63" s="1"/>
  <c r="E19" i="58"/>
  <c r="F18" i="58"/>
  <c r="H39" i="63" s="1"/>
  <c r="E18" i="58"/>
  <c r="F17" i="58"/>
  <c r="H38" i="63" s="1"/>
  <c r="E17" i="58"/>
  <c r="F16" i="58"/>
  <c r="H37" i="63" s="1"/>
  <c r="E16" i="58"/>
  <c r="G37" i="63" s="1"/>
  <c r="F15" i="58"/>
  <c r="H36" i="63" s="1"/>
  <c r="E15" i="58"/>
  <c r="G36" i="63" s="1"/>
  <c r="F14" i="58"/>
  <c r="H35" i="63" s="1"/>
  <c r="E14" i="58"/>
  <c r="G35" i="63" s="1"/>
  <c r="F13" i="58"/>
  <c r="H34" i="63" s="1"/>
  <c r="E13" i="58"/>
  <c r="G34" i="63" s="1"/>
  <c r="F12" i="58"/>
  <c r="H33" i="63" s="1"/>
  <c r="E12" i="58"/>
  <c r="G33" i="63" s="1"/>
  <c r="F11" i="58"/>
  <c r="H32" i="63" s="1"/>
  <c r="E11" i="58"/>
  <c r="G32" i="63" s="1"/>
  <c r="F10" i="58"/>
  <c r="H31" i="63" s="1"/>
  <c r="E10" i="58"/>
  <c r="G31" i="63" s="1"/>
  <c r="F9" i="58"/>
  <c r="H30" i="63" s="1"/>
  <c r="E9" i="58"/>
  <c r="G30" i="63" s="1"/>
  <c r="AF115" i="37"/>
  <c r="AF116" i="37"/>
  <c r="AF117" i="37"/>
  <c r="AF118" i="37"/>
  <c r="AF119" i="37"/>
  <c r="AF120" i="37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98" i="39"/>
  <c r="AF99" i="39"/>
  <c r="AF100" i="39"/>
  <c r="AF101" i="39"/>
  <c r="AF102" i="39"/>
  <c r="AF103" i="39"/>
  <c r="AF104" i="39"/>
  <c r="AF105" i="39"/>
  <c r="AF106" i="39"/>
  <c r="AF107" i="39"/>
  <c r="AF108" i="39"/>
  <c r="AF109" i="39"/>
  <c r="AF110" i="39"/>
  <c r="AF111" i="39"/>
  <c r="AF112" i="39"/>
  <c r="AF113" i="39"/>
  <c r="AF114" i="39"/>
  <c r="AF115" i="39"/>
  <c r="AF116" i="39"/>
  <c r="AF117" i="39"/>
  <c r="AF118" i="39"/>
  <c r="AF119" i="39"/>
  <c r="AF120" i="39"/>
  <c r="AF98" i="40"/>
  <c r="AF99" i="40"/>
  <c r="AF100" i="40"/>
  <c r="AF101" i="40"/>
  <c r="AF102" i="40"/>
  <c r="AF103" i="40"/>
  <c r="AF104" i="40"/>
  <c r="AF105" i="40"/>
  <c r="AF106" i="40"/>
  <c r="AF107" i="40"/>
  <c r="AF108" i="40"/>
  <c r="AF109" i="40"/>
  <c r="AF110" i="40"/>
  <c r="AF111" i="40"/>
  <c r="AF112" i="40"/>
  <c r="AF113" i="40"/>
  <c r="AF114" i="40"/>
  <c r="AF115" i="40"/>
  <c r="AF116" i="40"/>
  <c r="AF117" i="40"/>
  <c r="AF118" i="40"/>
  <c r="AF119" i="40"/>
  <c r="AF120" i="40"/>
  <c r="AF98" i="41"/>
  <c r="AF99" i="41"/>
  <c r="AF100" i="41"/>
  <c r="AF101" i="41"/>
  <c r="AF102" i="41"/>
  <c r="AF103" i="41"/>
  <c r="AF104" i="41"/>
  <c r="AF105" i="41"/>
  <c r="AF106" i="41"/>
  <c r="AF107" i="41"/>
  <c r="AF108" i="41"/>
  <c r="AF109" i="41"/>
  <c r="AF110" i="41"/>
  <c r="AF111" i="41"/>
  <c r="AF112" i="41"/>
  <c r="AF113" i="41"/>
  <c r="AF114" i="41"/>
  <c r="AF115" i="41"/>
  <c r="AF116" i="41"/>
  <c r="AF117" i="41"/>
  <c r="AF118" i="41"/>
  <c r="AF119" i="41"/>
  <c r="AF120" i="41"/>
  <c r="AF98" i="42"/>
  <c r="AF99" i="42"/>
  <c r="AF100" i="42"/>
  <c r="AF101" i="42"/>
  <c r="AF102" i="42"/>
  <c r="AF103" i="42"/>
  <c r="AF104" i="42"/>
  <c r="AF105" i="42"/>
  <c r="AF106" i="42"/>
  <c r="AF107" i="42"/>
  <c r="AF108" i="42"/>
  <c r="AF109" i="42"/>
  <c r="AF110" i="42"/>
  <c r="AF111" i="42"/>
  <c r="AF112" i="42"/>
  <c r="AF113" i="42"/>
  <c r="AF114" i="42"/>
  <c r="AF115" i="42"/>
  <c r="AF116" i="42"/>
  <c r="AF117" i="42"/>
  <c r="AF118" i="42"/>
  <c r="AF119" i="42"/>
  <c r="AF120" i="42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98" i="44"/>
  <c r="AF99" i="44"/>
  <c r="AF100" i="44"/>
  <c r="AF101" i="44"/>
  <c r="AF102" i="44"/>
  <c r="AF103" i="44"/>
  <c r="AF104" i="44"/>
  <c r="AF105" i="44"/>
  <c r="AF106" i="44"/>
  <c r="AF107" i="44"/>
  <c r="AF108" i="44"/>
  <c r="AF109" i="44"/>
  <c r="AF110" i="44"/>
  <c r="AF111" i="44"/>
  <c r="AF112" i="44"/>
  <c r="AF113" i="44"/>
  <c r="AF114" i="44"/>
  <c r="AF115" i="44"/>
  <c r="AF116" i="44"/>
  <c r="AF117" i="44"/>
  <c r="AF118" i="44"/>
  <c r="AF119" i="44"/>
  <c r="AF120" i="44"/>
  <c r="AF98" i="45"/>
  <c r="AF99" i="45"/>
  <c r="AF100" i="45"/>
  <c r="AF101" i="45"/>
  <c r="AF102" i="45"/>
  <c r="AF103" i="45"/>
  <c r="AF104" i="45"/>
  <c r="AF105" i="45"/>
  <c r="AF106" i="45"/>
  <c r="AF107" i="45"/>
  <c r="AF108" i="45"/>
  <c r="AF109" i="45"/>
  <c r="AF110" i="45"/>
  <c r="AF111" i="45"/>
  <c r="AF112" i="45"/>
  <c r="AF113" i="45"/>
  <c r="AF114" i="45"/>
  <c r="AF115" i="45"/>
  <c r="AF116" i="45"/>
  <c r="AF117" i="45"/>
  <c r="AF118" i="45"/>
  <c r="AF119" i="45"/>
  <c r="AF120" i="45"/>
  <c r="AF98" i="46"/>
  <c r="AF99" i="46"/>
  <c r="AF100" i="46"/>
  <c r="AF101" i="46"/>
  <c r="AF102" i="46"/>
  <c r="AF103" i="46"/>
  <c r="AF104" i="46"/>
  <c r="AF105" i="46"/>
  <c r="AF106" i="46"/>
  <c r="AF107" i="46"/>
  <c r="AF108" i="46"/>
  <c r="AF109" i="46"/>
  <c r="AF110" i="46"/>
  <c r="AF111" i="46"/>
  <c r="AF112" i="46"/>
  <c r="AF113" i="46"/>
  <c r="AF114" i="46"/>
  <c r="AF115" i="46"/>
  <c r="AF116" i="46"/>
  <c r="AF117" i="46"/>
  <c r="AF118" i="46"/>
  <c r="AF119" i="46"/>
  <c r="AF120" i="46"/>
  <c r="AF98" i="47"/>
  <c r="AF99" i="47"/>
  <c r="AF100" i="47"/>
  <c r="AF101" i="47"/>
  <c r="AF102" i="47"/>
  <c r="AF103" i="47"/>
  <c r="AF104" i="47"/>
  <c r="AF105" i="47"/>
  <c r="AF106" i="47"/>
  <c r="AF107" i="47"/>
  <c r="AF108" i="47"/>
  <c r="AF109" i="47"/>
  <c r="AF110" i="47"/>
  <c r="AF111" i="47"/>
  <c r="AF112" i="47"/>
  <c r="AF113" i="47"/>
  <c r="AF114" i="47"/>
  <c r="AF115" i="47"/>
  <c r="AF116" i="47"/>
  <c r="AF117" i="47"/>
  <c r="AF118" i="47"/>
  <c r="AF119" i="47"/>
  <c r="AF120" i="47"/>
  <c r="AF98" i="48"/>
  <c r="AF99" i="48"/>
  <c r="AF100" i="48"/>
  <c r="AF101" i="48"/>
  <c r="AF102" i="48"/>
  <c r="AF103" i="48"/>
  <c r="AF104" i="48"/>
  <c r="AF105" i="48"/>
  <c r="AF106" i="48"/>
  <c r="AF107" i="48"/>
  <c r="AF108" i="48"/>
  <c r="AF109" i="48"/>
  <c r="AF110" i="48"/>
  <c r="AF111" i="48"/>
  <c r="AF112" i="48"/>
  <c r="AF113" i="48"/>
  <c r="AF114" i="48"/>
  <c r="AF115" i="48"/>
  <c r="AF116" i="48"/>
  <c r="AF117" i="48"/>
  <c r="AF118" i="48"/>
  <c r="AF119" i="48"/>
  <c r="AF120" i="48"/>
  <c r="AF98" i="49"/>
  <c r="AF99" i="49"/>
  <c r="AF100" i="49"/>
  <c r="AF101" i="49"/>
  <c r="AF102" i="49"/>
  <c r="AF103" i="49"/>
  <c r="AF104" i="49"/>
  <c r="AF105" i="49"/>
  <c r="AF106" i="49"/>
  <c r="AF107" i="49"/>
  <c r="AF108" i="49"/>
  <c r="AF109" i="49"/>
  <c r="AF110" i="49"/>
  <c r="AF111" i="49"/>
  <c r="AF112" i="49"/>
  <c r="AF113" i="49"/>
  <c r="AF114" i="49"/>
  <c r="AF115" i="49"/>
  <c r="AF116" i="49"/>
  <c r="AF117" i="49"/>
  <c r="AF118" i="49"/>
  <c r="AF119" i="49"/>
  <c r="AF120" i="49"/>
  <c r="AF98" i="50"/>
  <c r="AF99" i="50"/>
  <c r="AF100" i="50"/>
  <c r="AF101" i="50"/>
  <c r="AF102" i="50"/>
  <c r="AF103" i="50"/>
  <c r="AF104" i="50"/>
  <c r="AF105" i="50"/>
  <c r="AF106" i="50"/>
  <c r="AF107" i="50"/>
  <c r="AF108" i="50"/>
  <c r="AF109" i="50"/>
  <c r="AF110" i="50"/>
  <c r="AF111" i="50"/>
  <c r="AF112" i="50"/>
  <c r="AF113" i="50"/>
  <c r="AF114" i="50"/>
  <c r="AF115" i="50"/>
  <c r="AF116" i="50"/>
  <c r="AF117" i="50"/>
  <c r="AF118" i="50"/>
  <c r="AF119" i="50"/>
  <c r="AF120" i="50"/>
  <c r="AF98" i="51"/>
  <c r="AF99" i="51"/>
  <c r="AF100" i="51"/>
  <c r="AF101" i="51"/>
  <c r="AF102" i="51"/>
  <c r="AF103" i="51"/>
  <c r="AF104" i="51"/>
  <c r="AF105" i="51"/>
  <c r="AF106" i="51"/>
  <c r="AF107" i="51"/>
  <c r="AF108" i="51"/>
  <c r="AF109" i="51"/>
  <c r="AF110" i="51"/>
  <c r="AF111" i="51"/>
  <c r="AF112" i="51"/>
  <c r="AF113" i="51"/>
  <c r="AF114" i="51"/>
  <c r="AF115" i="51"/>
  <c r="AF116" i="51"/>
  <c r="AF117" i="51"/>
  <c r="AF118" i="51"/>
  <c r="AF119" i="51"/>
  <c r="AF120" i="51"/>
  <c r="AF98" i="52"/>
  <c r="AF99" i="52"/>
  <c r="AF100" i="52"/>
  <c r="AF101" i="52"/>
  <c r="AF102" i="52"/>
  <c r="AF103" i="52"/>
  <c r="AF104" i="52"/>
  <c r="AF105" i="52"/>
  <c r="AF106" i="52"/>
  <c r="AF107" i="52"/>
  <c r="AF108" i="52"/>
  <c r="AF109" i="52"/>
  <c r="AF110" i="52"/>
  <c r="AF111" i="52"/>
  <c r="AF112" i="52"/>
  <c r="AF113" i="52"/>
  <c r="AF114" i="52"/>
  <c r="AF115" i="52"/>
  <c r="AF116" i="52"/>
  <c r="AF117" i="52"/>
  <c r="AF118" i="52"/>
  <c r="AF119" i="52"/>
  <c r="AF120" i="52"/>
  <c r="AF98" i="53"/>
  <c r="AF99" i="53"/>
  <c r="AF100" i="53"/>
  <c r="AF101" i="53"/>
  <c r="AF102" i="53"/>
  <c r="AF103" i="53"/>
  <c r="AF104" i="53"/>
  <c r="AF105" i="53"/>
  <c r="AF106" i="53"/>
  <c r="AF107" i="53"/>
  <c r="AF108" i="53"/>
  <c r="AF109" i="53"/>
  <c r="AF110" i="53"/>
  <c r="AF111" i="53"/>
  <c r="AF112" i="53"/>
  <c r="AF113" i="53"/>
  <c r="AF114" i="53"/>
  <c r="AF115" i="53"/>
  <c r="AF116" i="53"/>
  <c r="AF117" i="53"/>
  <c r="AF118" i="53"/>
  <c r="AF119" i="53"/>
  <c r="AF120" i="53"/>
  <c r="AF98" i="54"/>
  <c r="AF99" i="54"/>
  <c r="AF100" i="54"/>
  <c r="AF101" i="54"/>
  <c r="AF102" i="54"/>
  <c r="AF103" i="54"/>
  <c r="AF104" i="54"/>
  <c r="AF105" i="54"/>
  <c r="AF106" i="54"/>
  <c r="AF107" i="54"/>
  <c r="AF108" i="54"/>
  <c r="AF109" i="54"/>
  <c r="AF110" i="54"/>
  <c r="AF111" i="54"/>
  <c r="AF112" i="54"/>
  <c r="AF113" i="54"/>
  <c r="AF114" i="54"/>
  <c r="AF115" i="54"/>
  <c r="AF116" i="54"/>
  <c r="AF117" i="54"/>
  <c r="AF118" i="54"/>
  <c r="AF119" i="54"/>
  <c r="AF120" i="54"/>
  <c r="AF98" i="55"/>
  <c r="AF99" i="55"/>
  <c r="AF100" i="55"/>
  <c r="AF101" i="55"/>
  <c r="AF102" i="55"/>
  <c r="AF103" i="55"/>
  <c r="AF104" i="55"/>
  <c r="AF105" i="55"/>
  <c r="AF106" i="55"/>
  <c r="AF107" i="55"/>
  <c r="AF108" i="55"/>
  <c r="AF109" i="55"/>
  <c r="AF110" i="55"/>
  <c r="AF111" i="55"/>
  <c r="AF112" i="55"/>
  <c r="AF113" i="55"/>
  <c r="AF114" i="55"/>
  <c r="AF115" i="55"/>
  <c r="AF116" i="55"/>
  <c r="AF117" i="55"/>
  <c r="AF118" i="55"/>
  <c r="AF119" i="55"/>
  <c r="AF120" i="55"/>
  <c r="AF98" i="17"/>
  <c r="AF99" i="17"/>
  <c r="AF100" i="17"/>
  <c r="AF101" i="17"/>
  <c r="AF102" i="17"/>
  <c r="AF103" i="17"/>
  <c r="AF104" i="17"/>
  <c r="AF105" i="17"/>
  <c r="AF106" i="17"/>
  <c r="AF107" i="17"/>
  <c r="AF108" i="17"/>
  <c r="AF109" i="17"/>
  <c r="AF110" i="17"/>
  <c r="AF111" i="17"/>
  <c r="AF112" i="17"/>
  <c r="AF113" i="17"/>
  <c r="AF114" i="17"/>
  <c r="AF115" i="17"/>
  <c r="AF116" i="17"/>
  <c r="AF117" i="17"/>
  <c r="AF118" i="17"/>
  <c r="AF119" i="17"/>
  <c r="AF120" i="17"/>
  <c r="AF97" i="38"/>
  <c r="AF97" i="39"/>
  <c r="AF97" i="40"/>
  <c r="AF97" i="41"/>
  <c r="AF97" i="42"/>
  <c r="AF97" i="43"/>
  <c r="AF97" i="44"/>
  <c r="AF97" i="45"/>
  <c r="AF97" i="46"/>
  <c r="AF97" i="47"/>
  <c r="AF97" i="48"/>
  <c r="AF97" i="49"/>
  <c r="AF97" i="50"/>
  <c r="AF97" i="51"/>
  <c r="AF97" i="52"/>
  <c r="AF97" i="53"/>
  <c r="AF97" i="54"/>
  <c r="AF97" i="55"/>
  <c r="AF97" i="17"/>
  <c r="D7" i="55"/>
  <c r="D7" i="54"/>
  <c r="D7" i="53"/>
  <c r="D7" i="52"/>
  <c r="D7" i="51"/>
  <c r="D7" i="50"/>
  <c r="D7" i="49"/>
  <c r="D7" i="48"/>
  <c r="D7" i="47"/>
  <c r="D7" i="46"/>
  <c r="D7" i="45"/>
  <c r="D7" i="44"/>
  <c r="D7" i="43"/>
  <c r="D7" i="42"/>
  <c r="D7" i="41"/>
  <c r="D7" i="40"/>
  <c r="D7" i="39"/>
  <c r="D7" i="38"/>
  <c r="D7" i="37"/>
  <c r="F8" i="58"/>
  <c r="E8" i="58"/>
  <c r="D20" i="58"/>
  <c r="D27" i="58"/>
  <c r="D26" i="58"/>
  <c r="D25" i="58"/>
  <c r="D24" i="58"/>
  <c r="D23" i="58"/>
  <c r="D22" i="58"/>
  <c r="D21" i="58"/>
  <c r="D19" i="58"/>
  <c r="D18" i="58"/>
  <c r="D17" i="58"/>
  <c r="D16" i="58"/>
  <c r="D15" i="58"/>
  <c r="D14" i="58"/>
  <c r="D13" i="58"/>
  <c r="D12" i="58"/>
  <c r="D11" i="58"/>
  <c r="D10" i="58"/>
  <c r="D9" i="58"/>
  <c r="E30" i="62" s="1"/>
  <c r="D8" i="58"/>
  <c r="C27" i="58"/>
  <c r="D48" i="63" s="1"/>
  <c r="C26" i="58"/>
  <c r="D47" i="63" s="1"/>
  <c r="C25" i="58"/>
  <c r="D46" i="63" s="1"/>
  <c r="C24" i="58"/>
  <c r="D45" i="63" s="1"/>
  <c r="C23" i="58"/>
  <c r="D44" i="63" s="1"/>
  <c r="C22" i="58"/>
  <c r="D43" i="63" s="1"/>
  <c r="C21" i="58"/>
  <c r="D42" i="63" s="1"/>
  <c r="C20" i="58"/>
  <c r="D41" i="63" s="1"/>
  <c r="C19" i="58"/>
  <c r="D40" i="63" s="1"/>
  <c r="C18" i="58"/>
  <c r="D39" i="63" s="1"/>
  <c r="C17" i="58"/>
  <c r="D38" i="63" s="1"/>
  <c r="C16" i="58"/>
  <c r="D37" i="63" s="1"/>
  <c r="C15" i="58"/>
  <c r="D36" i="63" s="1"/>
  <c r="C14" i="58"/>
  <c r="D35" i="63" s="1"/>
  <c r="C13" i="58"/>
  <c r="D34" i="63" s="1"/>
  <c r="C12" i="58"/>
  <c r="D33" i="63" s="1"/>
  <c r="C11" i="58"/>
  <c r="D32" i="63" s="1"/>
  <c r="C10" i="58"/>
  <c r="D31" i="63" s="1"/>
  <c r="C9" i="58"/>
  <c r="D30" i="63" s="1"/>
  <c r="C8" i="58"/>
  <c r="C7" i="55"/>
  <c r="I24" i="55"/>
  <c r="J24" i="55" s="1"/>
  <c r="K24" i="55" s="1"/>
  <c r="L24" i="55" s="1"/>
  <c r="M24" i="55" s="1"/>
  <c r="N31" i="55" s="1"/>
  <c r="I26" i="55"/>
  <c r="J26" i="55"/>
  <c r="K26" i="55"/>
  <c r="L26" i="55"/>
  <c r="I27" i="55"/>
  <c r="J27" i="55"/>
  <c r="K27" i="55"/>
  <c r="L27" i="55"/>
  <c r="I28" i="55"/>
  <c r="J28" i="55"/>
  <c r="K28" i="55"/>
  <c r="L28" i="55"/>
  <c r="J25" i="55"/>
  <c r="K25" i="55"/>
  <c r="L25" i="55"/>
  <c r="I25" i="55"/>
  <c r="N546" i="55"/>
  <c r="N545" i="55" s="1"/>
  <c r="I546" i="55"/>
  <c r="I545" i="55" s="1"/>
  <c r="K545" i="55" s="1"/>
  <c r="N531" i="55"/>
  <c r="N530" i="55" s="1"/>
  <c r="I531" i="55"/>
  <c r="I530" i="55" s="1"/>
  <c r="J530" i="55" s="1"/>
  <c r="N513" i="55"/>
  <c r="N512" i="55" s="1"/>
  <c r="M512" i="55" s="1"/>
  <c r="M514" i="55" s="1"/>
  <c r="I513" i="55"/>
  <c r="I512" i="55" s="1"/>
  <c r="H512" i="55" s="1"/>
  <c r="I514" i="55" s="1"/>
  <c r="J514" i="55" s="1"/>
  <c r="N492" i="55"/>
  <c r="I492" i="55"/>
  <c r="N477" i="55"/>
  <c r="I477" i="55"/>
  <c r="N459" i="55"/>
  <c r="I459" i="55"/>
  <c r="N439" i="55"/>
  <c r="N438" i="55" s="1"/>
  <c r="O438" i="55" s="1"/>
  <c r="I439" i="55"/>
  <c r="I438" i="55" s="1"/>
  <c r="J438" i="55" s="1"/>
  <c r="N424" i="55"/>
  <c r="N423" i="55" s="1"/>
  <c r="O423" i="55" s="1"/>
  <c r="I424" i="55"/>
  <c r="I423" i="55" s="1"/>
  <c r="H423" i="55" s="1"/>
  <c r="N406" i="55"/>
  <c r="N405" i="55" s="1"/>
  <c r="M405" i="55" s="1"/>
  <c r="M407" i="55" s="1"/>
  <c r="I406" i="55"/>
  <c r="I405" i="55" s="1"/>
  <c r="J405" i="55" s="1"/>
  <c r="N385" i="55"/>
  <c r="N384" i="55" s="1"/>
  <c r="I385" i="55"/>
  <c r="I384" i="55" s="1"/>
  <c r="N370" i="55"/>
  <c r="N369" i="55" s="1"/>
  <c r="O369" i="55" s="1"/>
  <c r="I370" i="55"/>
  <c r="I369" i="55" s="1"/>
  <c r="J369" i="55" s="1"/>
  <c r="N352" i="55"/>
  <c r="N351" i="55" s="1"/>
  <c r="I352" i="55"/>
  <c r="I351" i="55" s="1"/>
  <c r="H351" i="55" s="1"/>
  <c r="J32" i="56"/>
  <c r="J33" i="56"/>
  <c r="J34" i="56"/>
  <c r="J35" i="56"/>
  <c r="J36" i="56"/>
  <c r="J37" i="56"/>
  <c r="J49" i="56"/>
  <c r="J50" i="56"/>
  <c r="J51" i="56"/>
  <c r="J52" i="56"/>
  <c r="J53" i="56"/>
  <c r="J54" i="56"/>
  <c r="J66" i="56"/>
  <c r="J67" i="56"/>
  <c r="J68" i="56"/>
  <c r="J69" i="56"/>
  <c r="J70" i="56"/>
  <c r="J71" i="56"/>
  <c r="J83" i="56"/>
  <c r="J84" i="56"/>
  <c r="J85" i="56"/>
  <c r="J86" i="56"/>
  <c r="J87" i="56"/>
  <c r="J88" i="56"/>
  <c r="J100" i="56"/>
  <c r="J101" i="56"/>
  <c r="J102" i="56"/>
  <c r="J103" i="56"/>
  <c r="J104" i="56"/>
  <c r="J105" i="56"/>
  <c r="J117" i="56"/>
  <c r="J118" i="56"/>
  <c r="J119" i="56"/>
  <c r="J120" i="56"/>
  <c r="J121" i="56"/>
  <c r="J122" i="56"/>
  <c r="J134" i="56"/>
  <c r="J135" i="56"/>
  <c r="J136" i="56"/>
  <c r="J137" i="56"/>
  <c r="J138" i="56"/>
  <c r="J139" i="56"/>
  <c r="J151" i="56"/>
  <c r="J152" i="56"/>
  <c r="J153" i="56"/>
  <c r="J154" i="56"/>
  <c r="J155" i="56"/>
  <c r="J156" i="56"/>
  <c r="J168" i="56"/>
  <c r="J169" i="56"/>
  <c r="J170" i="56"/>
  <c r="J171" i="56"/>
  <c r="J172" i="56"/>
  <c r="J173" i="56"/>
  <c r="J185" i="56"/>
  <c r="J186" i="56"/>
  <c r="J187" i="56"/>
  <c r="J188" i="56"/>
  <c r="J189" i="56"/>
  <c r="J190" i="56"/>
  <c r="J202" i="56"/>
  <c r="J203" i="56"/>
  <c r="J204" i="56"/>
  <c r="J205" i="56"/>
  <c r="J206" i="56"/>
  <c r="J207" i="56"/>
  <c r="J219" i="56"/>
  <c r="J220" i="56"/>
  <c r="J221" i="56"/>
  <c r="J222" i="56"/>
  <c r="J223" i="56"/>
  <c r="J224" i="56"/>
  <c r="J236" i="56"/>
  <c r="J237" i="56"/>
  <c r="J238" i="56"/>
  <c r="J239" i="56"/>
  <c r="J240" i="56"/>
  <c r="J241" i="56"/>
  <c r="J253" i="56"/>
  <c r="J254" i="56"/>
  <c r="J255" i="56"/>
  <c r="J256" i="56"/>
  <c r="J257" i="56"/>
  <c r="J258" i="56"/>
  <c r="J270" i="56"/>
  <c r="J271" i="56"/>
  <c r="J272" i="56"/>
  <c r="J273" i="56"/>
  <c r="J274" i="56"/>
  <c r="J275" i="56"/>
  <c r="J287" i="56"/>
  <c r="J288" i="56"/>
  <c r="J289" i="56"/>
  <c r="J290" i="56"/>
  <c r="J291" i="56"/>
  <c r="J292" i="56"/>
  <c r="J304" i="56"/>
  <c r="J305" i="56"/>
  <c r="J306" i="56"/>
  <c r="J324" i="56"/>
  <c r="J325" i="56"/>
  <c r="J338" i="56"/>
  <c r="J339" i="56"/>
  <c r="J340" i="56"/>
  <c r="J341" i="56"/>
  <c r="J342" i="56"/>
  <c r="J343" i="56"/>
  <c r="J15" i="56"/>
  <c r="J16" i="56"/>
  <c r="J17" i="56"/>
  <c r="J18" i="56"/>
  <c r="J19" i="56"/>
  <c r="J20" i="56"/>
  <c r="J31" i="56"/>
  <c r="J48" i="56"/>
  <c r="J65" i="56"/>
  <c r="J82" i="56"/>
  <c r="J99" i="56"/>
  <c r="J116" i="56"/>
  <c r="J133" i="56"/>
  <c r="J150" i="56"/>
  <c r="J167" i="56"/>
  <c r="J184" i="56"/>
  <c r="J201" i="56"/>
  <c r="J218" i="56"/>
  <c r="J235" i="56"/>
  <c r="J252" i="56"/>
  <c r="J269" i="56"/>
  <c r="J286" i="56"/>
  <c r="J303" i="56"/>
  <c r="J337" i="56"/>
  <c r="J14" i="56"/>
  <c r="G32" i="56"/>
  <c r="G33" i="56"/>
  <c r="G34" i="56"/>
  <c r="G35" i="56"/>
  <c r="G36" i="56"/>
  <c r="G37" i="56"/>
  <c r="G49" i="56"/>
  <c r="G50" i="56"/>
  <c r="G51" i="56"/>
  <c r="G52" i="56"/>
  <c r="G53" i="56"/>
  <c r="G54" i="56"/>
  <c r="G66" i="56"/>
  <c r="G67" i="56"/>
  <c r="G68" i="56"/>
  <c r="G69" i="56"/>
  <c r="G70" i="56"/>
  <c r="G71" i="56"/>
  <c r="G83" i="56"/>
  <c r="G84" i="56"/>
  <c r="G85" i="56"/>
  <c r="G86" i="56"/>
  <c r="G87" i="56"/>
  <c r="G88" i="56"/>
  <c r="G100" i="56"/>
  <c r="G101" i="56"/>
  <c r="G102" i="56"/>
  <c r="G103" i="56"/>
  <c r="G104" i="56"/>
  <c r="G105" i="56"/>
  <c r="G117" i="56"/>
  <c r="G118" i="56"/>
  <c r="G119" i="56"/>
  <c r="G120" i="56"/>
  <c r="G121" i="56"/>
  <c r="G122" i="56"/>
  <c r="G134" i="56"/>
  <c r="G135" i="56"/>
  <c r="G136" i="56"/>
  <c r="G137" i="56"/>
  <c r="G138" i="56"/>
  <c r="G139" i="56"/>
  <c r="G151" i="56"/>
  <c r="G152" i="56"/>
  <c r="G153" i="56"/>
  <c r="G154" i="56"/>
  <c r="G155" i="56"/>
  <c r="G156" i="56"/>
  <c r="G168" i="56"/>
  <c r="G169" i="56"/>
  <c r="G170" i="56"/>
  <c r="G171" i="56"/>
  <c r="G172" i="56"/>
  <c r="G173" i="56"/>
  <c r="G185" i="56"/>
  <c r="G186" i="56"/>
  <c r="G187" i="56"/>
  <c r="G188" i="56"/>
  <c r="G189" i="56"/>
  <c r="G190" i="56"/>
  <c r="G202" i="56"/>
  <c r="G203" i="56"/>
  <c r="G204" i="56"/>
  <c r="G205" i="56"/>
  <c r="G206" i="56"/>
  <c r="G207" i="56"/>
  <c r="G219" i="56"/>
  <c r="G220" i="56"/>
  <c r="G221" i="56"/>
  <c r="G222" i="56"/>
  <c r="G223" i="56"/>
  <c r="G224" i="56"/>
  <c r="G236" i="56"/>
  <c r="G237" i="56"/>
  <c r="G238" i="56"/>
  <c r="G239" i="56"/>
  <c r="G240" i="56"/>
  <c r="G241" i="56"/>
  <c r="G253" i="56"/>
  <c r="G254" i="56"/>
  <c r="G255" i="56"/>
  <c r="G256" i="56"/>
  <c r="G257" i="56"/>
  <c r="G258" i="56"/>
  <c r="G270" i="56"/>
  <c r="G271" i="56"/>
  <c r="G272" i="56"/>
  <c r="G273" i="56"/>
  <c r="G274" i="56"/>
  <c r="G275" i="56"/>
  <c r="G287" i="56"/>
  <c r="G288" i="56"/>
  <c r="G289" i="56"/>
  <c r="G290" i="56"/>
  <c r="G291" i="56"/>
  <c r="G292" i="56"/>
  <c r="G304" i="56"/>
  <c r="G305" i="56"/>
  <c r="G306" i="56"/>
  <c r="G307" i="56"/>
  <c r="G308" i="56"/>
  <c r="G309" i="56"/>
  <c r="G321" i="56"/>
  <c r="G322" i="56"/>
  <c r="G323" i="56"/>
  <c r="G324" i="56"/>
  <c r="G325" i="56"/>
  <c r="G326" i="56"/>
  <c r="G338" i="56"/>
  <c r="G339" i="56"/>
  <c r="G340" i="56"/>
  <c r="G341" i="56"/>
  <c r="G342" i="56"/>
  <c r="G343" i="56"/>
  <c r="G15" i="56"/>
  <c r="G16" i="56"/>
  <c r="G17" i="56"/>
  <c r="G18" i="56"/>
  <c r="G19" i="56"/>
  <c r="G20" i="56"/>
  <c r="G31" i="56"/>
  <c r="G48" i="56"/>
  <c r="G65" i="56"/>
  <c r="G82" i="56"/>
  <c r="G99" i="56"/>
  <c r="G116" i="56"/>
  <c r="G133" i="56"/>
  <c r="G150" i="56"/>
  <c r="G167" i="56"/>
  <c r="G184" i="56"/>
  <c r="G201" i="56"/>
  <c r="G218" i="56"/>
  <c r="G235" i="56"/>
  <c r="G252" i="56"/>
  <c r="G269" i="56"/>
  <c r="G286" i="56"/>
  <c r="G303" i="56"/>
  <c r="G320" i="56"/>
  <c r="G337" i="56"/>
  <c r="G14" i="56"/>
  <c r="I32" i="56"/>
  <c r="I33" i="56"/>
  <c r="I34" i="56"/>
  <c r="I35" i="56"/>
  <c r="I36" i="56"/>
  <c r="I37" i="56"/>
  <c r="I49" i="56"/>
  <c r="I50" i="56"/>
  <c r="I51" i="56"/>
  <c r="I52" i="56"/>
  <c r="I53" i="56"/>
  <c r="I54" i="56"/>
  <c r="I66" i="56"/>
  <c r="I67" i="56"/>
  <c r="I68" i="56"/>
  <c r="I69" i="56"/>
  <c r="I70" i="56"/>
  <c r="I71" i="56"/>
  <c r="I83" i="56"/>
  <c r="I84" i="56"/>
  <c r="I85" i="56"/>
  <c r="I86" i="56"/>
  <c r="I87" i="56"/>
  <c r="I88" i="56"/>
  <c r="I100" i="56"/>
  <c r="I101" i="56"/>
  <c r="I102" i="56"/>
  <c r="I103" i="56"/>
  <c r="I104" i="56"/>
  <c r="I105" i="56"/>
  <c r="I117" i="56"/>
  <c r="I118" i="56"/>
  <c r="I119" i="56"/>
  <c r="I120" i="56"/>
  <c r="I121" i="56"/>
  <c r="I122" i="56"/>
  <c r="I134" i="56"/>
  <c r="I135" i="56"/>
  <c r="I136" i="56"/>
  <c r="I137" i="56"/>
  <c r="I138" i="56"/>
  <c r="I139" i="56"/>
  <c r="I151" i="56"/>
  <c r="I152" i="56"/>
  <c r="I153" i="56"/>
  <c r="I154" i="56"/>
  <c r="I155" i="56"/>
  <c r="I156" i="56"/>
  <c r="I168" i="56"/>
  <c r="I169" i="56"/>
  <c r="I170" i="56"/>
  <c r="I171" i="56"/>
  <c r="I172" i="56"/>
  <c r="I173" i="56"/>
  <c r="I185" i="56"/>
  <c r="I186" i="56"/>
  <c r="I187" i="56"/>
  <c r="I188" i="56"/>
  <c r="I189" i="56"/>
  <c r="I190" i="56"/>
  <c r="I202" i="56"/>
  <c r="I203" i="56"/>
  <c r="I204" i="56"/>
  <c r="I205" i="56"/>
  <c r="I206" i="56"/>
  <c r="I207" i="56"/>
  <c r="I219" i="56"/>
  <c r="I220" i="56"/>
  <c r="I221" i="56"/>
  <c r="I222" i="56"/>
  <c r="I223" i="56"/>
  <c r="I224" i="56"/>
  <c r="I236" i="56"/>
  <c r="I237" i="56"/>
  <c r="I238" i="56"/>
  <c r="I239" i="56"/>
  <c r="I240" i="56"/>
  <c r="I241" i="56"/>
  <c r="I253" i="56"/>
  <c r="I254" i="56"/>
  <c r="I255" i="56"/>
  <c r="I256" i="56"/>
  <c r="I257" i="56"/>
  <c r="I258" i="56"/>
  <c r="I270" i="56"/>
  <c r="I271" i="56"/>
  <c r="I272" i="56"/>
  <c r="I273" i="56"/>
  <c r="I274" i="56"/>
  <c r="I275" i="56"/>
  <c r="I287" i="56"/>
  <c r="I288" i="56"/>
  <c r="I289" i="56"/>
  <c r="I290" i="56"/>
  <c r="I291" i="56"/>
  <c r="I292" i="56"/>
  <c r="I304" i="56"/>
  <c r="I305" i="56"/>
  <c r="I306" i="56"/>
  <c r="I307" i="56"/>
  <c r="I308" i="56"/>
  <c r="I309" i="56"/>
  <c r="I321" i="56"/>
  <c r="I322" i="56"/>
  <c r="I323" i="56"/>
  <c r="I324" i="56"/>
  <c r="I325" i="56"/>
  <c r="I326" i="56"/>
  <c r="I338" i="56"/>
  <c r="I339" i="56"/>
  <c r="I340" i="56"/>
  <c r="I341" i="56"/>
  <c r="I342" i="56"/>
  <c r="I343" i="56"/>
  <c r="I16" i="56"/>
  <c r="I17" i="56"/>
  <c r="I18" i="56"/>
  <c r="I19" i="56"/>
  <c r="I20" i="56"/>
  <c r="I31" i="56"/>
  <c r="I48" i="56"/>
  <c r="I65" i="56"/>
  <c r="I82" i="56"/>
  <c r="I99" i="56"/>
  <c r="I116" i="56"/>
  <c r="I133" i="56"/>
  <c r="I150" i="56"/>
  <c r="I167" i="56"/>
  <c r="I184" i="56"/>
  <c r="I201" i="56"/>
  <c r="I218" i="56"/>
  <c r="I235" i="56"/>
  <c r="I252" i="56"/>
  <c r="I269" i="56"/>
  <c r="I286" i="56"/>
  <c r="I303" i="56"/>
  <c r="I320" i="56"/>
  <c r="I337" i="56"/>
  <c r="I14" i="56"/>
  <c r="H32" i="56"/>
  <c r="H33" i="56"/>
  <c r="H34" i="56"/>
  <c r="H35" i="56"/>
  <c r="H36" i="56"/>
  <c r="H37" i="56"/>
  <c r="H49" i="56"/>
  <c r="H50" i="56"/>
  <c r="H51" i="56"/>
  <c r="H52" i="56"/>
  <c r="H53" i="56"/>
  <c r="H54" i="56"/>
  <c r="H66" i="56"/>
  <c r="H67" i="56"/>
  <c r="H68" i="56"/>
  <c r="H69" i="56"/>
  <c r="H70" i="56"/>
  <c r="H71" i="56"/>
  <c r="H83" i="56"/>
  <c r="H84" i="56"/>
  <c r="H85" i="56"/>
  <c r="H86" i="56"/>
  <c r="H87" i="56"/>
  <c r="H88" i="56"/>
  <c r="H100" i="56"/>
  <c r="H101" i="56"/>
  <c r="H102" i="56"/>
  <c r="H103" i="56"/>
  <c r="H104" i="56"/>
  <c r="H105" i="56"/>
  <c r="H117" i="56"/>
  <c r="H118" i="56"/>
  <c r="H119" i="56"/>
  <c r="H120" i="56"/>
  <c r="H121" i="56"/>
  <c r="H122" i="56"/>
  <c r="H134" i="56"/>
  <c r="H135" i="56"/>
  <c r="H136" i="56"/>
  <c r="H137" i="56"/>
  <c r="H138" i="56"/>
  <c r="H139" i="56"/>
  <c r="H151" i="56"/>
  <c r="H152" i="56"/>
  <c r="H153" i="56"/>
  <c r="H154" i="56"/>
  <c r="H155" i="56"/>
  <c r="H156" i="56"/>
  <c r="H168" i="56"/>
  <c r="H169" i="56"/>
  <c r="H170" i="56"/>
  <c r="H171" i="56"/>
  <c r="H172" i="56"/>
  <c r="H173" i="56"/>
  <c r="H185" i="56"/>
  <c r="H186" i="56"/>
  <c r="H187" i="56"/>
  <c r="H188" i="56"/>
  <c r="H189" i="56"/>
  <c r="H190" i="56"/>
  <c r="H202" i="56"/>
  <c r="H203" i="56"/>
  <c r="H204" i="56"/>
  <c r="H205" i="56"/>
  <c r="H206" i="56"/>
  <c r="H207" i="56"/>
  <c r="H219" i="56"/>
  <c r="H220" i="56"/>
  <c r="H221" i="56"/>
  <c r="H222" i="56"/>
  <c r="H223" i="56"/>
  <c r="H224" i="56"/>
  <c r="H236" i="56"/>
  <c r="H237" i="56"/>
  <c r="H238" i="56"/>
  <c r="H239" i="56"/>
  <c r="H240" i="56"/>
  <c r="H241" i="56"/>
  <c r="H253" i="56"/>
  <c r="H254" i="56"/>
  <c r="H255" i="56"/>
  <c r="H256" i="56"/>
  <c r="H257" i="56"/>
  <c r="H258" i="56"/>
  <c r="H270" i="56"/>
  <c r="H271" i="56"/>
  <c r="H272" i="56"/>
  <c r="H273" i="56"/>
  <c r="H274" i="56"/>
  <c r="H275" i="56"/>
  <c r="H287" i="56"/>
  <c r="H288" i="56"/>
  <c r="H289" i="56"/>
  <c r="H290" i="56"/>
  <c r="H291" i="56"/>
  <c r="H292" i="56"/>
  <c r="H304" i="56"/>
  <c r="H305" i="56"/>
  <c r="H306" i="56"/>
  <c r="H307" i="56"/>
  <c r="H308" i="56"/>
  <c r="H309" i="56"/>
  <c r="H321" i="56"/>
  <c r="H322" i="56"/>
  <c r="H323" i="56"/>
  <c r="H324" i="56"/>
  <c r="H325" i="56"/>
  <c r="H326" i="56"/>
  <c r="H338" i="56"/>
  <c r="H339" i="56"/>
  <c r="H340" i="56"/>
  <c r="H341" i="56"/>
  <c r="H342" i="56"/>
  <c r="H343" i="56"/>
  <c r="H15" i="56"/>
  <c r="H16" i="56"/>
  <c r="H17" i="56"/>
  <c r="H18" i="56"/>
  <c r="H19" i="56"/>
  <c r="H20" i="56"/>
  <c r="H31" i="56"/>
  <c r="H48" i="56"/>
  <c r="H65" i="56"/>
  <c r="H82" i="56"/>
  <c r="H99" i="56"/>
  <c r="H116" i="56"/>
  <c r="H133" i="56"/>
  <c r="H150" i="56"/>
  <c r="H167" i="56"/>
  <c r="H184" i="56"/>
  <c r="H201" i="56"/>
  <c r="H218" i="56"/>
  <c r="H235" i="56"/>
  <c r="H252" i="56"/>
  <c r="H269" i="56"/>
  <c r="H286" i="56"/>
  <c r="H303" i="56"/>
  <c r="H320" i="56"/>
  <c r="H337" i="56"/>
  <c r="H14" i="56"/>
  <c r="N546" i="54"/>
  <c r="N545" i="54" s="1"/>
  <c r="O545" i="54" s="1"/>
  <c r="I546" i="54"/>
  <c r="I545" i="54" s="1"/>
  <c r="K545" i="54" s="1"/>
  <c r="N531" i="54"/>
  <c r="N530" i="54" s="1"/>
  <c r="P530" i="54" s="1"/>
  <c r="I531" i="54"/>
  <c r="I530" i="54" s="1"/>
  <c r="N513" i="54"/>
  <c r="N512" i="54" s="1"/>
  <c r="I513" i="54"/>
  <c r="I512" i="54" s="1"/>
  <c r="N492" i="54"/>
  <c r="I492" i="54"/>
  <c r="N477" i="54"/>
  <c r="I477" i="54"/>
  <c r="N459" i="54"/>
  <c r="I459" i="54"/>
  <c r="N439" i="54"/>
  <c r="N438" i="54" s="1"/>
  <c r="I439" i="54"/>
  <c r="I438" i="54" s="1"/>
  <c r="N424" i="54"/>
  <c r="N423" i="54" s="1"/>
  <c r="N406" i="54"/>
  <c r="N405" i="54" s="1"/>
  <c r="M405" i="54" s="1"/>
  <c r="M407" i="54" s="1"/>
  <c r="I406" i="54"/>
  <c r="I405" i="54" s="1"/>
  <c r="N385" i="54"/>
  <c r="N384" i="54" s="1"/>
  <c r="P384" i="54" s="1"/>
  <c r="I385" i="54"/>
  <c r="I384" i="54" s="1"/>
  <c r="N370" i="54"/>
  <c r="N369" i="54" s="1"/>
  <c r="I370" i="54"/>
  <c r="I369" i="54" s="1"/>
  <c r="N352" i="54"/>
  <c r="N351" i="54" s="1"/>
  <c r="I352" i="54"/>
  <c r="I351" i="54" s="1"/>
  <c r="C7" i="54"/>
  <c r="N546" i="53"/>
  <c r="N545" i="53" s="1"/>
  <c r="I546" i="53"/>
  <c r="I545" i="53" s="1"/>
  <c r="N531" i="53"/>
  <c r="N530" i="53" s="1"/>
  <c r="M530" i="53" s="1"/>
  <c r="N532" i="53" s="1"/>
  <c r="P532" i="53" s="1"/>
  <c r="I531" i="53"/>
  <c r="I530" i="53" s="1"/>
  <c r="N513" i="53"/>
  <c r="N512" i="53" s="1"/>
  <c r="I513" i="53"/>
  <c r="I512" i="53" s="1"/>
  <c r="H512" i="53" s="1"/>
  <c r="N492" i="53"/>
  <c r="I492" i="53"/>
  <c r="N477" i="53"/>
  <c r="I477" i="53"/>
  <c r="N459" i="53"/>
  <c r="I459" i="53"/>
  <c r="N439" i="53"/>
  <c r="N438" i="53" s="1"/>
  <c r="P438" i="53" s="1"/>
  <c r="I439" i="53"/>
  <c r="I438" i="53" s="1"/>
  <c r="N424" i="53"/>
  <c r="N423" i="53" s="1"/>
  <c r="I424" i="53"/>
  <c r="I423" i="53" s="1"/>
  <c r="N406" i="53"/>
  <c r="N405" i="53" s="1"/>
  <c r="O405" i="53" s="1"/>
  <c r="I406" i="53"/>
  <c r="I405" i="53" s="1"/>
  <c r="N385" i="53"/>
  <c r="N384" i="53" s="1"/>
  <c r="O384" i="53" s="1"/>
  <c r="I385" i="53"/>
  <c r="I384" i="53" s="1"/>
  <c r="H384" i="53" s="1"/>
  <c r="N370" i="53"/>
  <c r="N369" i="53" s="1"/>
  <c r="I370" i="53"/>
  <c r="I369" i="53" s="1"/>
  <c r="N352" i="53"/>
  <c r="N351" i="53" s="1"/>
  <c r="I352" i="53"/>
  <c r="I351" i="53" s="1"/>
  <c r="C7" i="53"/>
  <c r="I24" i="53"/>
  <c r="J24" i="53" s="1"/>
  <c r="K24" i="53" s="1"/>
  <c r="L24" i="53" s="1"/>
  <c r="M24" i="53" s="1"/>
  <c r="N546" i="52"/>
  <c r="N545" i="52" s="1"/>
  <c r="I546" i="52"/>
  <c r="I545" i="52" s="1"/>
  <c r="K545" i="52" s="1"/>
  <c r="N531" i="52"/>
  <c r="N530" i="52" s="1"/>
  <c r="P530" i="52" s="1"/>
  <c r="I531" i="52"/>
  <c r="I530" i="52" s="1"/>
  <c r="N513" i="52"/>
  <c r="N512" i="52" s="1"/>
  <c r="I513" i="52"/>
  <c r="I512" i="52" s="1"/>
  <c r="K512" i="52" s="1"/>
  <c r="N492" i="52"/>
  <c r="I492" i="52"/>
  <c r="N477" i="52"/>
  <c r="I477" i="52"/>
  <c r="N459" i="52"/>
  <c r="I459" i="52"/>
  <c r="N439" i="52"/>
  <c r="N438" i="52" s="1"/>
  <c r="P438" i="52" s="1"/>
  <c r="I439" i="52"/>
  <c r="I438" i="52" s="1"/>
  <c r="K438" i="52" s="1"/>
  <c r="N424" i="52"/>
  <c r="N423" i="52" s="1"/>
  <c r="I424" i="52"/>
  <c r="I423" i="52" s="1"/>
  <c r="N406" i="52"/>
  <c r="N405" i="52" s="1"/>
  <c r="M405" i="52" s="1"/>
  <c r="I406" i="52"/>
  <c r="I405" i="52" s="1"/>
  <c r="N385" i="52"/>
  <c r="N384" i="52" s="1"/>
  <c r="I385" i="52"/>
  <c r="I384" i="52" s="1"/>
  <c r="N370" i="52"/>
  <c r="N369" i="52" s="1"/>
  <c r="M369" i="52" s="1"/>
  <c r="N371" i="52" s="1"/>
  <c r="P371" i="52" s="1"/>
  <c r="I370" i="52"/>
  <c r="I369" i="52" s="1"/>
  <c r="N352" i="52"/>
  <c r="N351" i="52" s="1"/>
  <c r="I352" i="52"/>
  <c r="I351" i="52" s="1"/>
  <c r="J351" i="52" s="1"/>
  <c r="I26" i="52"/>
  <c r="J26" i="52"/>
  <c r="K26" i="52"/>
  <c r="L26" i="52"/>
  <c r="I27" i="52"/>
  <c r="J27" i="52"/>
  <c r="K27" i="52"/>
  <c r="L27" i="52"/>
  <c r="I28" i="52"/>
  <c r="J28" i="52"/>
  <c r="K28" i="52"/>
  <c r="L28" i="52"/>
  <c r="J25" i="52"/>
  <c r="K25" i="52"/>
  <c r="L25" i="52"/>
  <c r="I25" i="52"/>
  <c r="N546" i="51"/>
  <c r="N545" i="51" s="1"/>
  <c r="M545" i="51" s="1"/>
  <c r="I546" i="51"/>
  <c r="I545" i="51" s="1"/>
  <c r="K545" i="51" s="1"/>
  <c r="N531" i="51"/>
  <c r="N530" i="51" s="1"/>
  <c r="I531" i="51"/>
  <c r="I530" i="51" s="1"/>
  <c r="J530" i="51" s="1"/>
  <c r="N513" i="51"/>
  <c r="N512" i="51" s="1"/>
  <c r="O512" i="51" s="1"/>
  <c r="I513" i="51"/>
  <c r="I512" i="51" s="1"/>
  <c r="K512" i="51" s="1"/>
  <c r="N492" i="51"/>
  <c r="I492" i="51"/>
  <c r="N477" i="51"/>
  <c r="I477" i="51"/>
  <c r="N459" i="51"/>
  <c r="I459" i="51"/>
  <c r="N439" i="51"/>
  <c r="N438" i="51" s="1"/>
  <c r="I439" i="51"/>
  <c r="I438" i="51" s="1"/>
  <c r="K438" i="51" s="1"/>
  <c r="N424" i="51"/>
  <c r="N423" i="51" s="1"/>
  <c r="I424" i="51"/>
  <c r="I423" i="51" s="1"/>
  <c r="J423" i="51" s="1"/>
  <c r="N406" i="51"/>
  <c r="N405" i="51" s="1"/>
  <c r="I406" i="51"/>
  <c r="I405" i="51" s="1"/>
  <c r="J405" i="51" s="1"/>
  <c r="N385" i="51"/>
  <c r="N384" i="51" s="1"/>
  <c r="I385" i="51"/>
  <c r="I384" i="51" s="1"/>
  <c r="N370" i="51"/>
  <c r="N369" i="51" s="1"/>
  <c r="I370" i="51"/>
  <c r="I369" i="51" s="1"/>
  <c r="J369" i="51" s="1"/>
  <c r="N352" i="51"/>
  <c r="N351" i="51" s="1"/>
  <c r="M351" i="51" s="1"/>
  <c r="N353" i="51" s="1"/>
  <c r="P353" i="51" s="1"/>
  <c r="I352" i="51"/>
  <c r="I351" i="51" s="1"/>
  <c r="H351" i="51" s="1"/>
  <c r="C7" i="51"/>
  <c r="C7" i="50"/>
  <c r="I26" i="51"/>
  <c r="J26" i="51"/>
  <c r="K26" i="51"/>
  <c r="L26" i="51"/>
  <c r="I27" i="51"/>
  <c r="J27" i="51"/>
  <c r="K27" i="51"/>
  <c r="L27" i="51"/>
  <c r="I28" i="51"/>
  <c r="J28" i="51"/>
  <c r="K28" i="51"/>
  <c r="L28" i="51"/>
  <c r="J25" i="51"/>
  <c r="K25" i="51"/>
  <c r="L25" i="51"/>
  <c r="I25" i="51"/>
  <c r="N546" i="50"/>
  <c r="N545" i="50" s="1"/>
  <c r="I546" i="50"/>
  <c r="I545" i="50" s="1"/>
  <c r="K545" i="50" s="1"/>
  <c r="N531" i="50"/>
  <c r="N530" i="50" s="1"/>
  <c r="I531" i="50"/>
  <c r="I530" i="50" s="1"/>
  <c r="N513" i="50"/>
  <c r="N512" i="50" s="1"/>
  <c r="O512" i="50" s="1"/>
  <c r="I513" i="50"/>
  <c r="I512" i="50" s="1"/>
  <c r="H512" i="50" s="1"/>
  <c r="H514" i="50" s="1"/>
  <c r="N492" i="50"/>
  <c r="I492" i="50"/>
  <c r="N477" i="50"/>
  <c r="I477" i="50"/>
  <c r="N459" i="50"/>
  <c r="I459" i="50"/>
  <c r="N439" i="50"/>
  <c r="N438" i="50" s="1"/>
  <c r="I439" i="50"/>
  <c r="I438" i="50" s="1"/>
  <c r="K438" i="50" s="1"/>
  <c r="N424" i="50"/>
  <c r="N423" i="50" s="1"/>
  <c r="I424" i="50"/>
  <c r="I423" i="50" s="1"/>
  <c r="N406" i="50"/>
  <c r="N405" i="50" s="1"/>
  <c r="P405" i="50" s="1"/>
  <c r="I406" i="50"/>
  <c r="I405" i="50" s="1"/>
  <c r="K405" i="50" s="1"/>
  <c r="N385" i="50"/>
  <c r="N384" i="50" s="1"/>
  <c r="I385" i="50"/>
  <c r="I384" i="50" s="1"/>
  <c r="J384" i="50" s="1"/>
  <c r="N370" i="50"/>
  <c r="N369" i="50" s="1"/>
  <c r="P369" i="50" s="1"/>
  <c r="I370" i="50"/>
  <c r="I369" i="50" s="1"/>
  <c r="N352" i="50"/>
  <c r="N351" i="50" s="1"/>
  <c r="O351" i="50" s="1"/>
  <c r="I352" i="50"/>
  <c r="I351" i="50" s="1"/>
  <c r="C7" i="49"/>
  <c r="I26" i="49"/>
  <c r="J26" i="49"/>
  <c r="K26" i="49"/>
  <c r="L26" i="49"/>
  <c r="I27" i="49"/>
  <c r="J27" i="49"/>
  <c r="K27" i="49"/>
  <c r="L27" i="49"/>
  <c r="I28" i="49"/>
  <c r="J28" i="49"/>
  <c r="K28" i="49"/>
  <c r="L28" i="49"/>
  <c r="J25" i="49"/>
  <c r="K25" i="49"/>
  <c r="L25" i="49"/>
  <c r="I25" i="49"/>
  <c r="N546" i="49"/>
  <c r="N545" i="49" s="1"/>
  <c r="I546" i="49"/>
  <c r="I545" i="49" s="1"/>
  <c r="K545" i="49" s="1"/>
  <c r="N531" i="49"/>
  <c r="N530" i="49" s="1"/>
  <c r="I531" i="49"/>
  <c r="I530" i="49" s="1"/>
  <c r="N513" i="49"/>
  <c r="N512" i="49" s="1"/>
  <c r="I513" i="49"/>
  <c r="I512" i="49" s="1"/>
  <c r="K512" i="49" s="1"/>
  <c r="N492" i="49"/>
  <c r="I492" i="49"/>
  <c r="N477" i="49"/>
  <c r="I477" i="49"/>
  <c r="N459" i="49"/>
  <c r="I459" i="49"/>
  <c r="N439" i="49"/>
  <c r="N438" i="49" s="1"/>
  <c r="I439" i="49"/>
  <c r="I438" i="49" s="1"/>
  <c r="N424" i="49"/>
  <c r="N423" i="49" s="1"/>
  <c r="O423" i="49" s="1"/>
  <c r="I424" i="49"/>
  <c r="I423" i="49" s="1"/>
  <c r="N406" i="49"/>
  <c r="N405" i="49" s="1"/>
  <c r="O405" i="49" s="1"/>
  <c r="I406" i="49"/>
  <c r="I405" i="49" s="1"/>
  <c r="N385" i="49"/>
  <c r="N384" i="49" s="1"/>
  <c r="I385" i="49"/>
  <c r="I384" i="49" s="1"/>
  <c r="N370" i="49"/>
  <c r="N369" i="49" s="1"/>
  <c r="P369" i="49" s="1"/>
  <c r="I370" i="49"/>
  <c r="I369" i="49" s="1"/>
  <c r="N352" i="49"/>
  <c r="N351" i="49" s="1"/>
  <c r="O351" i="49" s="1"/>
  <c r="I352" i="49"/>
  <c r="I351" i="49" s="1"/>
  <c r="N546" i="48"/>
  <c r="N545" i="48" s="1"/>
  <c r="I546" i="48"/>
  <c r="I545" i="48" s="1"/>
  <c r="H545" i="48" s="1"/>
  <c r="N531" i="48"/>
  <c r="N530" i="48" s="1"/>
  <c r="P530" i="48" s="1"/>
  <c r="I531" i="48"/>
  <c r="I530" i="48" s="1"/>
  <c r="N513" i="48"/>
  <c r="N512" i="48" s="1"/>
  <c r="I513" i="48"/>
  <c r="I512" i="48" s="1"/>
  <c r="N492" i="48"/>
  <c r="I492" i="48"/>
  <c r="I477" i="48"/>
  <c r="N477" i="48"/>
  <c r="N459" i="48"/>
  <c r="I459" i="48"/>
  <c r="N439" i="48"/>
  <c r="N438" i="48" s="1"/>
  <c r="I439" i="48"/>
  <c r="I438" i="48" s="1"/>
  <c r="N424" i="48"/>
  <c r="N423" i="48" s="1"/>
  <c r="P423" i="48" s="1"/>
  <c r="I424" i="48"/>
  <c r="I423" i="48" s="1"/>
  <c r="H423" i="48" s="1"/>
  <c r="N406" i="48"/>
  <c r="N405" i="48" s="1"/>
  <c r="O405" i="48" s="1"/>
  <c r="I406" i="48"/>
  <c r="I405" i="48" s="1"/>
  <c r="H405" i="48" s="1"/>
  <c r="H407" i="48" s="1"/>
  <c r="N385" i="48"/>
  <c r="N384" i="48" s="1"/>
  <c r="M384" i="48" s="1"/>
  <c r="N386" i="48" s="1"/>
  <c r="I385" i="48"/>
  <c r="I384" i="48" s="1"/>
  <c r="N370" i="48"/>
  <c r="N369" i="48" s="1"/>
  <c r="I370" i="48"/>
  <c r="I369" i="48" s="1"/>
  <c r="J369" i="48" s="1"/>
  <c r="N352" i="48"/>
  <c r="N351" i="48" s="1"/>
  <c r="M351" i="48" s="1"/>
  <c r="M353" i="48" s="1"/>
  <c r="I352" i="48"/>
  <c r="I351" i="48" s="1"/>
  <c r="K351" i="48" s="1"/>
  <c r="C7" i="48"/>
  <c r="I24" i="48"/>
  <c r="J24" i="48" s="1"/>
  <c r="K24" i="48" s="1"/>
  <c r="L24" i="48" s="1"/>
  <c r="M24" i="48" s="1"/>
  <c r="I26" i="48"/>
  <c r="J26" i="48"/>
  <c r="K26" i="48"/>
  <c r="L26" i="48"/>
  <c r="I27" i="48"/>
  <c r="J27" i="48"/>
  <c r="K27" i="48"/>
  <c r="L27" i="48"/>
  <c r="I28" i="48"/>
  <c r="J28" i="48"/>
  <c r="K28" i="48"/>
  <c r="L28" i="48"/>
  <c r="J25" i="48"/>
  <c r="K25" i="48"/>
  <c r="L25" i="48"/>
  <c r="I25" i="48"/>
  <c r="D228" i="56"/>
  <c r="E228" i="56" s="1"/>
  <c r="F228" i="56" s="1"/>
  <c r="N546" i="47"/>
  <c r="N545" i="47" s="1"/>
  <c r="M545" i="47" s="1"/>
  <c r="I546" i="47"/>
  <c r="I545" i="47" s="1"/>
  <c r="N531" i="47"/>
  <c r="N530" i="47" s="1"/>
  <c r="I531" i="47"/>
  <c r="I530" i="47" s="1"/>
  <c r="H530" i="47" s="1"/>
  <c r="N513" i="47"/>
  <c r="N512" i="47" s="1"/>
  <c r="O512" i="47" s="1"/>
  <c r="I513" i="47"/>
  <c r="I512" i="47" s="1"/>
  <c r="J512" i="47" s="1"/>
  <c r="N492" i="47"/>
  <c r="I492" i="47"/>
  <c r="N477" i="47"/>
  <c r="I477" i="47"/>
  <c r="N459" i="47"/>
  <c r="I459" i="47"/>
  <c r="N439" i="47"/>
  <c r="N438" i="47" s="1"/>
  <c r="O438" i="47" s="1"/>
  <c r="I439" i="47"/>
  <c r="I438" i="47" s="1"/>
  <c r="J438" i="47" s="1"/>
  <c r="N424" i="47"/>
  <c r="N423" i="47" s="1"/>
  <c r="I424" i="47"/>
  <c r="I423" i="47" s="1"/>
  <c r="N406" i="47"/>
  <c r="N405" i="47" s="1"/>
  <c r="M405" i="47" s="1"/>
  <c r="M407" i="47" s="1"/>
  <c r="I406" i="47"/>
  <c r="I405" i="47" s="1"/>
  <c r="N385" i="47"/>
  <c r="N384" i="47" s="1"/>
  <c r="O384" i="47" s="1"/>
  <c r="I385" i="47"/>
  <c r="I384" i="47" s="1"/>
  <c r="J384" i="47" s="1"/>
  <c r="N370" i="47"/>
  <c r="N369" i="47" s="1"/>
  <c r="O369" i="47" s="1"/>
  <c r="I370" i="47"/>
  <c r="I369" i="47" s="1"/>
  <c r="N352" i="47"/>
  <c r="N351" i="47" s="1"/>
  <c r="O351" i="47" s="1"/>
  <c r="I352" i="47"/>
  <c r="I351" i="47" s="1"/>
  <c r="H351" i="47" s="1"/>
  <c r="I353" i="47" s="1"/>
  <c r="C7" i="47"/>
  <c r="N546" i="46"/>
  <c r="N545" i="46" s="1"/>
  <c r="P545" i="46" s="1"/>
  <c r="I546" i="46"/>
  <c r="I545" i="46" s="1"/>
  <c r="H545" i="46" s="1"/>
  <c r="I547" i="46" s="1"/>
  <c r="N531" i="46"/>
  <c r="N530" i="46" s="1"/>
  <c r="I531" i="46"/>
  <c r="I530" i="46" s="1"/>
  <c r="N513" i="46"/>
  <c r="N512" i="46" s="1"/>
  <c r="I513" i="46"/>
  <c r="I512" i="46" s="1"/>
  <c r="N492" i="46"/>
  <c r="I492" i="46"/>
  <c r="N477" i="46"/>
  <c r="I477" i="46"/>
  <c r="N459" i="46"/>
  <c r="I459" i="46"/>
  <c r="N439" i="46"/>
  <c r="N438" i="46" s="1"/>
  <c r="O438" i="46" s="1"/>
  <c r="I439" i="46"/>
  <c r="I438" i="46" s="1"/>
  <c r="J438" i="46" s="1"/>
  <c r="N424" i="46"/>
  <c r="I424" i="46"/>
  <c r="I423" i="46" s="1"/>
  <c r="N406" i="46"/>
  <c r="N405" i="46" s="1"/>
  <c r="O405" i="46" s="1"/>
  <c r="I406" i="46"/>
  <c r="I405" i="46" s="1"/>
  <c r="J405" i="46" s="1"/>
  <c r="N385" i="46"/>
  <c r="N384" i="46" s="1"/>
  <c r="I385" i="46"/>
  <c r="I384" i="46" s="1"/>
  <c r="H384" i="46" s="1"/>
  <c r="N370" i="46"/>
  <c r="N369" i="46" s="1"/>
  <c r="M369" i="46" s="1"/>
  <c r="I370" i="46"/>
  <c r="I369" i="46" s="1"/>
  <c r="N352" i="46"/>
  <c r="N351" i="46" s="1"/>
  <c r="I352" i="46"/>
  <c r="I351" i="46" s="1"/>
  <c r="J351" i="46" s="1"/>
  <c r="C7" i="46"/>
  <c r="N546" i="45"/>
  <c r="N545" i="45" s="1"/>
  <c r="M545" i="45" s="1"/>
  <c r="N547" i="45" s="1"/>
  <c r="I546" i="45"/>
  <c r="I545" i="45" s="1"/>
  <c r="N531" i="45"/>
  <c r="I531" i="45"/>
  <c r="I530" i="45" s="1"/>
  <c r="N513" i="45"/>
  <c r="N512" i="45" s="1"/>
  <c r="I513" i="45"/>
  <c r="I512" i="45" s="1"/>
  <c r="N492" i="45"/>
  <c r="I492" i="45"/>
  <c r="N477" i="45"/>
  <c r="I477" i="45"/>
  <c r="N459" i="45"/>
  <c r="I459" i="45"/>
  <c r="N439" i="45"/>
  <c r="N438" i="45" s="1"/>
  <c r="O438" i="45" s="1"/>
  <c r="I439" i="45"/>
  <c r="I438" i="45" s="1"/>
  <c r="J438" i="45" s="1"/>
  <c r="N424" i="45"/>
  <c r="N423" i="45" s="1"/>
  <c r="I424" i="45"/>
  <c r="I423" i="45" s="1"/>
  <c r="H423" i="45" s="1"/>
  <c r="H425" i="45" s="1"/>
  <c r="K423" i="45" s="1"/>
  <c r="N406" i="45"/>
  <c r="N405" i="45" s="1"/>
  <c r="P405" i="45" s="1"/>
  <c r="I406" i="45"/>
  <c r="I405" i="45" s="1"/>
  <c r="H405" i="45" s="1"/>
  <c r="N385" i="45"/>
  <c r="N384" i="45" s="1"/>
  <c r="P384" i="45" s="1"/>
  <c r="I385" i="45"/>
  <c r="I384" i="45" s="1"/>
  <c r="N370" i="45"/>
  <c r="N369" i="45" s="1"/>
  <c r="I370" i="45"/>
  <c r="I369" i="45" s="1"/>
  <c r="N352" i="45"/>
  <c r="N351" i="45" s="1"/>
  <c r="I352" i="45"/>
  <c r="I351" i="45" s="1"/>
  <c r="H351" i="45" s="1"/>
  <c r="C7" i="45"/>
  <c r="N546" i="44"/>
  <c r="N545" i="44" s="1"/>
  <c r="P545" i="44" s="1"/>
  <c r="I546" i="44"/>
  <c r="I545" i="44" s="1"/>
  <c r="J545" i="44" s="1"/>
  <c r="N531" i="44"/>
  <c r="N530" i="44" s="1"/>
  <c r="I531" i="44"/>
  <c r="I530" i="44" s="1"/>
  <c r="N513" i="44"/>
  <c r="N512" i="44" s="1"/>
  <c r="I513" i="44"/>
  <c r="I512" i="44" s="1"/>
  <c r="N492" i="44"/>
  <c r="I492" i="44"/>
  <c r="N477" i="44"/>
  <c r="I477" i="44"/>
  <c r="N459" i="44"/>
  <c r="I459" i="44"/>
  <c r="N439" i="44"/>
  <c r="N438" i="44" s="1"/>
  <c r="P438" i="44" s="1"/>
  <c r="I439" i="44"/>
  <c r="I438" i="44" s="1"/>
  <c r="N424" i="44"/>
  <c r="N423" i="44" s="1"/>
  <c r="I424" i="44"/>
  <c r="I423" i="44" s="1"/>
  <c r="N406" i="44"/>
  <c r="N405" i="44" s="1"/>
  <c r="O405" i="44" s="1"/>
  <c r="I406" i="44"/>
  <c r="I405" i="44" s="1"/>
  <c r="H405" i="44" s="1"/>
  <c r="N385" i="44"/>
  <c r="N384" i="44" s="1"/>
  <c r="I385" i="44"/>
  <c r="I384" i="44" s="1"/>
  <c r="N370" i="44"/>
  <c r="N369" i="44" s="1"/>
  <c r="P369" i="44" s="1"/>
  <c r="I370" i="44"/>
  <c r="I369" i="44" s="1"/>
  <c r="N352" i="44"/>
  <c r="N351" i="44" s="1"/>
  <c r="I352" i="44"/>
  <c r="I351" i="44" s="1"/>
  <c r="J351" i="44" s="1"/>
  <c r="C7" i="44"/>
  <c r="N546" i="43"/>
  <c r="N545" i="43" s="1"/>
  <c r="M545" i="43" s="1"/>
  <c r="I546" i="43"/>
  <c r="I545" i="43" s="1"/>
  <c r="H545" i="43" s="1"/>
  <c r="I547" i="43" s="1"/>
  <c r="N531" i="43"/>
  <c r="N530" i="43" s="1"/>
  <c r="I531" i="43"/>
  <c r="I530" i="43" s="1"/>
  <c r="N513" i="43"/>
  <c r="N512" i="43" s="1"/>
  <c r="O512" i="43" s="1"/>
  <c r="I513" i="43"/>
  <c r="I512" i="43" s="1"/>
  <c r="N492" i="43"/>
  <c r="I492" i="43"/>
  <c r="N477" i="43"/>
  <c r="I477" i="43"/>
  <c r="N459" i="43"/>
  <c r="I459" i="43"/>
  <c r="N439" i="43"/>
  <c r="N438" i="43" s="1"/>
  <c r="I439" i="43"/>
  <c r="I438" i="43" s="1"/>
  <c r="N424" i="43"/>
  <c r="N423" i="43" s="1"/>
  <c r="O423" i="43" s="1"/>
  <c r="I424" i="43"/>
  <c r="I423" i="43" s="1"/>
  <c r="N406" i="43"/>
  <c r="N405" i="43" s="1"/>
  <c r="O405" i="43" s="1"/>
  <c r="I406" i="43"/>
  <c r="I405" i="43" s="1"/>
  <c r="H405" i="43" s="1"/>
  <c r="N385" i="43"/>
  <c r="N384" i="43" s="1"/>
  <c r="O384" i="43" s="1"/>
  <c r="I385" i="43"/>
  <c r="I384" i="43" s="1"/>
  <c r="N370" i="43"/>
  <c r="N369" i="43" s="1"/>
  <c r="P369" i="43" s="1"/>
  <c r="I370" i="43"/>
  <c r="I369" i="43" s="1"/>
  <c r="H369" i="43" s="1"/>
  <c r="H371" i="43" s="1"/>
  <c r="K369" i="43" s="1"/>
  <c r="N352" i="43"/>
  <c r="N351" i="43" s="1"/>
  <c r="M351" i="43" s="1"/>
  <c r="N353" i="43" s="1"/>
  <c r="I352" i="43"/>
  <c r="I351" i="43" s="1"/>
  <c r="C7" i="43"/>
  <c r="I26" i="43"/>
  <c r="J26" i="43"/>
  <c r="K26" i="43"/>
  <c r="L26" i="43"/>
  <c r="I27" i="43"/>
  <c r="J27" i="43"/>
  <c r="K27" i="43"/>
  <c r="L27" i="43"/>
  <c r="I28" i="43"/>
  <c r="J28" i="43"/>
  <c r="K28" i="43"/>
  <c r="L28" i="43"/>
  <c r="J25" i="43"/>
  <c r="K25" i="43"/>
  <c r="L25" i="43"/>
  <c r="I25" i="43"/>
  <c r="N546" i="42"/>
  <c r="N545" i="42" s="1"/>
  <c r="M545" i="42" s="1"/>
  <c r="M547" i="42" s="1"/>
  <c r="I546" i="42"/>
  <c r="I545" i="42" s="1"/>
  <c r="J545" i="42" s="1"/>
  <c r="N531" i="42"/>
  <c r="N530" i="42" s="1"/>
  <c r="I531" i="42"/>
  <c r="I530" i="42" s="1"/>
  <c r="N513" i="42"/>
  <c r="N512" i="42" s="1"/>
  <c r="I513" i="42"/>
  <c r="I512" i="42" s="1"/>
  <c r="H512" i="42" s="1"/>
  <c r="H514" i="42" s="1"/>
  <c r="N492" i="42"/>
  <c r="I492" i="42"/>
  <c r="N477" i="42"/>
  <c r="I477" i="42"/>
  <c r="N459" i="42"/>
  <c r="I459" i="42"/>
  <c r="N439" i="42"/>
  <c r="N438" i="42" s="1"/>
  <c r="I439" i="42"/>
  <c r="I438" i="42" s="1"/>
  <c r="H438" i="42" s="1"/>
  <c r="H440" i="42" s="1"/>
  <c r="N424" i="42"/>
  <c r="N423" i="42" s="1"/>
  <c r="I424" i="42"/>
  <c r="I423" i="42" s="1"/>
  <c r="N406" i="42"/>
  <c r="N405" i="42" s="1"/>
  <c r="I406" i="42"/>
  <c r="I405" i="42" s="1"/>
  <c r="J405" i="42" s="1"/>
  <c r="N385" i="42"/>
  <c r="N384" i="42" s="1"/>
  <c r="I385" i="42"/>
  <c r="I384" i="42" s="1"/>
  <c r="N370" i="42"/>
  <c r="N369" i="42" s="1"/>
  <c r="I370" i="42"/>
  <c r="I369" i="42" s="1"/>
  <c r="N352" i="42"/>
  <c r="N351" i="42" s="1"/>
  <c r="I352" i="42"/>
  <c r="I351" i="42" s="1"/>
  <c r="K351" i="42" s="1"/>
  <c r="I26" i="42"/>
  <c r="J26" i="42"/>
  <c r="K26" i="42"/>
  <c r="L26" i="42"/>
  <c r="I27" i="42"/>
  <c r="J27" i="42"/>
  <c r="K27" i="42"/>
  <c r="L27" i="42"/>
  <c r="I28" i="42"/>
  <c r="J28" i="42"/>
  <c r="K28" i="42"/>
  <c r="L28" i="42"/>
  <c r="J25" i="42"/>
  <c r="K25" i="42"/>
  <c r="L25" i="42"/>
  <c r="I25" i="42"/>
  <c r="C7" i="42"/>
  <c r="N546" i="41"/>
  <c r="N545" i="41" s="1"/>
  <c r="P545" i="41" s="1"/>
  <c r="I546" i="41"/>
  <c r="I545" i="41" s="1"/>
  <c r="H545" i="41" s="1"/>
  <c r="H547" i="41" s="1"/>
  <c r="N531" i="41"/>
  <c r="N530" i="41" s="1"/>
  <c r="M530" i="41" s="1"/>
  <c r="I531" i="41"/>
  <c r="I530" i="41" s="1"/>
  <c r="N513" i="41"/>
  <c r="N512" i="41" s="1"/>
  <c r="I513" i="41"/>
  <c r="I512" i="41" s="1"/>
  <c r="N492" i="41"/>
  <c r="I492" i="41"/>
  <c r="N477" i="41"/>
  <c r="I477" i="41"/>
  <c r="N459" i="41"/>
  <c r="I459" i="41"/>
  <c r="N439" i="41"/>
  <c r="N438" i="41" s="1"/>
  <c r="P438" i="41" s="1"/>
  <c r="I439" i="41"/>
  <c r="I438" i="41" s="1"/>
  <c r="J438" i="41" s="1"/>
  <c r="N424" i="41"/>
  <c r="N423" i="41" s="1"/>
  <c r="I424" i="41"/>
  <c r="I423" i="41" s="1"/>
  <c r="N406" i="41"/>
  <c r="N405" i="41" s="1"/>
  <c r="M405" i="41" s="1"/>
  <c r="I406" i="41"/>
  <c r="I405" i="41" s="1"/>
  <c r="H405" i="41" s="1"/>
  <c r="I407" i="41" s="1"/>
  <c r="J407" i="41" s="1"/>
  <c r="N385" i="41"/>
  <c r="N384" i="41" s="1"/>
  <c r="I385" i="41"/>
  <c r="I384" i="41" s="1"/>
  <c r="N370" i="41"/>
  <c r="N369" i="41" s="1"/>
  <c r="P369" i="41" s="1"/>
  <c r="I370" i="41"/>
  <c r="I369" i="41" s="1"/>
  <c r="H369" i="41" s="1"/>
  <c r="H371" i="41" s="1"/>
  <c r="K369" i="41" s="1"/>
  <c r="N352" i="41"/>
  <c r="N351" i="41" s="1"/>
  <c r="I352" i="41"/>
  <c r="I351" i="41" s="1"/>
  <c r="K351" i="41" s="1"/>
  <c r="C7" i="41"/>
  <c r="N546" i="40"/>
  <c r="N545" i="40" s="1"/>
  <c r="P545" i="40" s="1"/>
  <c r="I546" i="40"/>
  <c r="I545" i="40" s="1"/>
  <c r="N531" i="40"/>
  <c r="N530" i="40" s="1"/>
  <c r="I531" i="40"/>
  <c r="I530" i="40" s="1"/>
  <c r="N513" i="40"/>
  <c r="N512" i="40" s="1"/>
  <c r="O512" i="40" s="1"/>
  <c r="I513" i="40"/>
  <c r="I512" i="40" s="1"/>
  <c r="N492" i="40"/>
  <c r="I492" i="40"/>
  <c r="N477" i="40"/>
  <c r="I477" i="40"/>
  <c r="N459" i="40"/>
  <c r="I459" i="40"/>
  <c r="N439" i="40"/>
  <c r="N438" i="40" s="1"/>
  <c r="O438" i="40" s="1"/>
  <c r="I439" i="40"/>
  <c r="I438" i="40" s="1"/>
  <c r="H438" i="40" s="1"/>
  <c r="N424" i="40"/>
  <c r="N423" i="40" s="1"/>
  <c r="I424" i="40"/>
  <c r="I423" i="40" s="1"/>
  <c r="H423" i="40" s="1"/>
  <c r="H425" i="40" s="1"/>
  <c r="K423" i="40" s="1"/>
  <c r="N406" i="40"/>
  <c r="N405" i="40" s="1"/>
  <c r="O405" i="40" s="1"/>
  <c r="I406" i="40"/>
  <c r="I405" i="40" s="1"/>
  <c r="K405" i="40" s="1"/>
  <c r="N385" i="40"/>
  <c r="N384" i="40" s="1"/>
  <c r="I385" i="40"/>
  <c r="I384" i="40" s="1"/>
  <c r="H384" i="40" s="1"/>
  <c r="N370" i="40"/>
  <c r="N369" i="40" s="1"/>
  <c r="M369" i="40" s="1"/>
  <c r="M371" i="40" s="1"/>
  <c r="I370" i="40"/>
  <c r="I369" i="40" s="1"/>
  <c r="N352" i="40"/>
  <c r="N351" i="40" s="1"/>
  <c r="P351" i="40" s="1"/>
  <c r="I352" i="40"/>
  <c r="I351" i="40" s="1"/>
  <c r="C7" i="40"/>
  <c r="I26" i="40"/>
  <c r="J26" i="40"/>
  <c r="K26" i="40"/>
  <c r="L26" i="40"/>
  <c r="I27" i="40"/>
  <c r="J27" i="40"/>
  <c r="K27" i="40"/>
  <c r="L27" i="40"/>
  <c r="I28" i="40"/>
  <c r="J28" i="40"/>
  <c r="K28" i="40"/>
  <c r="L28" i="40"/>
  <c r="J25" i="40"/>
  <c r="K25" i="40"/>
  <c r="L25" i="40"/>
  <c r="I25" i="40"/>
  <c r="N546" i="39"/>
  <c r="N545" i="39" s="1"/>
  <c r="I546" i="39"/>
  <c r="I545" i="39" s="1"/>
  <c r="N531" i="39"/>
  <c r="N530" i="39" s="1"/>
  <c r="O530" i="39" s="1"/>
  <c r="I531" i="39"/>
  <c r="I530" i="39" s="1"/>
  <c r="J530" i="39" s="1"/>
  <c r="N513" i="39"/>
  <c r="N512" i="39" s="1"/>
  <c r="I513" i="39"/>
  <c r="I512" i="39" s="1"/>
  <c r="K512" i="39" s="1"/>
  <c r="N492" i="39"/>
  <c r="I492" i="39"/>
  <c r="N477" i="39"/>
  <c r="I477" i="39"/>
  <c r="N459" i="39"/>
  <c r="I459" i="39"/>
  <c r="N439" i="39"/>
  <c r="N438" i="39" s="1"/>
  <c r="I439" i="39"/>
  <c r="I438" i="39" s="1"/>
  <c r="K438" i="39" s="1"/>
  <c r="N424" i="39"/>
  <c r="N423" i="39" s="1"/>
  <c r="P423" i="39" s="1"/>
  <c r="I424" i="39"/>
  <c r="I423" i="39" s="1"/>
  <c r="J423" i="39" s="1"/>
  <c r="N406" i="39"/>
  <c r="N405" i="39" s="1"/>
  <c r="I406" i="39"/>
  <c r="I405" i="39" s="1"/>
  <c r="K405" i="39" s="1"/>
  <c r="N385" i="39"/>
  <c r="N384" i="39" s="1"/>
  <c r="I385" i="39"/>
  <c r="I384" i="39" s="1"/>
  <c r="N370" i="39"/>
  <c r="N369" i="39" s="1"/>
  <c r="O369" i="39" s="1"/>
  <c r="I370" i="39"/>
  <c r="I369" i="39" s="1"/>
  <c r="N352" i="39"/>
  <c r="N351" i="39" s="1"/>
  <c r="O351" i="39" s="1"/>
  <c r="I352" i="39"/>
  <c r="I351" i="39" s="1"/>
  <c r="H351" i="39" s="1"/>
  <c r="I353" i="39" s="1"/>
  <c r="K353" i="39" s="1"/>
  <c r="I24" i="39"/>
  <c r="J24" i="39" s="1"/>
  <c r="K24" i="39" s="1"/>
  <c r="L24" i="39" s="1"/>
  <c r="M24" i="39" s="1"/>
  <c r="N31" i="39" s="1"/>
  <c r="C7" i="39"/>
  <c r="N546" i="38"/>
  <c r="N545" i="38" s="1"/>
  <c r="I546" i="38"/>
  <c r="I545" i="38" s="1"/>
  <c r="K545" i="38" s="1"/>
  <c r="N531" i="38"/>
  <c r="N530" i="38" s="1"/>
  <c r="M530" i="38" s="1"/>
  <c r="I531" i="38"/>
  <c r="I530" i="38" s="1"/>
  <c r="H530" i="38" s="1"/>
  <c r="H532" i="38" s="1"/>
  <c r="N513" i="38"/>
  <c r="N512" i="38" s="1"/>
  <c r="I513" i="38"/>
  <c r="I512" i="38" s="1"/>
  <c r="H512" i="38" s="1"/>
  <c r="N492" i="38"/>
  <c r="I492" i="38"/>
  <c r="N477" i="38"/>
  <c r="I477" i="38"/>
  <c r="N459" i="38"/>
  <c r="I459" i="38"/>
  <c r="N439" i="38"/>
  <c r="N438" i="38" s="1"/>
  <c r="M438" i="38" s="1"/>
  <c r="N440" i="38" s="1"/>
  <c r="I439" i="38"/>
  <c r="I438" i="38" s="1"/>
  <c r="N424" i="38"/>
  <c r="N423" i="38" s="1"/>
  <c r="I424" i="38"/>
  <c r="I423" i="38" s="1"/>
  <c r="N406" i="38"/>
  <c r="N405" i="38" s="1"/>
  <c r="M405" i="38" s="1"/>
  <c r="I406" i="38"/>
  <c r="I405" i="38" s="1"/>
  <c r="N370" i="38"/>
  <c r="N369" i="38" s="1"/>
  <c r="N385" i="38"/>
  <c r="N384" i="38" s="1"/>
  <c r="O384" i="38" s="1"/>
  <c r="I385" i="38"/>
  <c r="I384" i="38" s="1"/>
  <c r="H384" i="38" s="1"/>
  <c r="I370" i="38"/>
  <c r="I369" i="38" s="1"/>
  <c r="H369" i="38" s="1"/>
  <c r="N352" i="38"/>
  <c r="N351" i="38" s="1"/>
  <c r="M351" i="38" s="1"/>
  <c r="I352" i="38"/>
  <c r="I351" i="38" s="1"/>
  <c r="H351" i="38" s="1"/>
  <c r="I26" i="38"/>
  <c r="J26" i="38"/>
  <c r="K26" i="38"/>
  <c r="L26" i="38"/>
  <c r="I27" i="38"/>
  <c r="J27" i="38"/>
  <c r="K27" i="38"/>
  <c r="L27" i="38"/>
  <c r="I28" i="38"/>
  <c r="J28" i="38"/>
  <c r="K28" i="38"/>
  <c r="L28" i="38"/>
  <c r="J25" i="38"/>
  <c r="K25" i="38"/>
  <c r="L25" i="38"/>
  <c r="I25" i="38"/>
  <c r="C7" i="38"/>
  <c r="D58" i="56"/>
  <c r="E58" i="56" s="1"/>
  <c r="F58" i="56" s="1"/>
  <c r="I24" i="37"/>
  <c r="J24" i="37" s="1"/>
  <c r="K24" i="37" s="1"/>
  <c r="L24" i="37" s="1"/>
  <c r="M24" i="37" s="1"/>
  <c r="I26" i="37"/>
  <c r="J26" i="37"/>
  <c r="K26" i="37"/>
  <c r="L26" i="37"/>
  <c r="I27" i="37"/>
  <c r="J27" i="37"/>
  <c r="K27" i="37"/>
  <c r="L27" i="37"/>
  <c r="I28" i="37"/>
  <c r="J28" i="37"/>
  <c r="K28" i="37"/>
  <c r="L28" i="37"/>
  <c r="J25" i="37"/>
  <c r="K25" i="37"/>
  <c r="L25" i="37"/>
  <c r="I25" i="37"/>
  <c r="N370" i="37"/>
  <c r="N369" i="37" s="1"/>
  <c r="O369" i="37" s="1"/>
  <c r="I385" i="37"/>
  <c r="I384" i="37" s="1"/>
  <c r="J384" i="37" s="1"/>
  <c r="N385" i="37"/>
  <c r="N384" i="37" s="1"/>
  <c r="M384" i="37" s="1"/>
  <c r="N424" i="37"/>
  <c r="N423" i="37" s="1"/>
  <c r="P423" i="37" s="1"/>
  <c r="N439" i="37"/>
  <c r="N438" i="37" s="1"/>
  <c r="M438" i="37" s="1"/>
  <c r="M440" i="37" s="1"/>
  <c r="N477" i="37"/>
  <c r="N492" i="37"/>
  <c r="N531" i="37"/>
  <c r="N530" i="37" s="1"/>
  <c r="O530" i="37" s="1"/>
  <c r="N546" i="37"/>
  <c r="N545" i="37" s="1"/>
  <c r="M545" i="37" s="1"/>
  <c r="M547" i="37" s="1"/>
  <c r="I546" i="37"/>
  <c r="I545" i="37" s="1"/>
  <c r="I531" i="37"/>
  <c r="I530" i="37" s="1"/>
  <c r="H530" i="37" s="1"/>
  <c r="I532" i="37" s="1"/>
  <c r="J532" i="37" s="1"/>
  <c r="I492" i="37"/>
  <c r="I477" i="37"/>
  <c r="I439" i="37"/>
  <c r="I438" i="37" s="1"/>
  <c r="H438" i="37" s="1"/>
  <c r="H440" i="37" s="1"/>
  <c r="I424" i="37"/>
  <c r="I423" i="37" s="1"/>
  <c r="I370" i="37"/>
  <c r="I369" i="37" s="1"/>
  <c r="N513" i="37"/>
  <c r="N512" i="37" s="1"/>
  <c r="P512" i="37" s="1"/>
  <c r="N459" i="37"/>
  <c r="N406" i="37"/>
  <c r="N405" i="37" s="1"/>
  <c r="P405" i="37" s="1"/>
  <c r="N352" i="37"/>
  <c r="N351" i="37" s="1"/>
  <c r="O351" i="37" s="1"/>
  <c r="I513" i="37"/>
  <c r="I512" i="37" s="1"/>
  <c r="H512" i="37" s="1"/>
  <c r="I459" i="37"/>
  <c r="I406" i="37"/>
  <c r="I405" i="37" s="1"/>
  <c r="K405" i="37" s="1"/>
  <c r="I352" i="37"/>
  <c r="I351" i="37" s="1"/>
  <c r="C7" i="37"/>
  <c r="N546" i="17"/>
  <c r="N545" i="17" s="1"/>
  <c r="O545" i="17" s="1"/>
  <c r="I546" i="17"/>
  <c r="I545" i="17" s="1"/>
  <c r="H545" i="17" s="1"/>
  <c r="N492" i="17"/>
  <c r="I492" i="17"/>
  <c r="N439" i="17"/>
  <c r="N438" i="17" s="1"/>
  <c r="I439" i="17"/>
  <c r="I438" i="17" s="1"/>
  <c r="K438" i="17" s="1"/>
  <c r="N385" i="17"/>
  <c r="N384" i="17" s="1"/>
  <c r="O384" i="17" s="1"/>
  <c r="I385" i="17"/>
  <c r="I384" i="17" s="1"/>
  <c r="N531" i="17"/>
  <c r="N530" i="17" s="1"/>
  <c r="I531" i="17"/>
  <c r="I530" i="17" s="1"/>
  <c r="N477" i="17"/>
  <c r="I477" i="17"/>
  <c r="N424" i="17"/>
  <c r="N423" i="17" s="1"/>
  <c r="O423" i="17" s="1"/>
  <c r="I424" i="17"/>
  <c r="I423" i="17" s="1"/>
  <c r="N370" i="17"/>
  <c r="N369" i="17" s="1"/>
  <c r="P369" i="17" s="1"/>
  <c r="N513" i="17"/>
  <c r="N512" i="17" s="1"/>
  <c r="O512" i="17" s="1"/>
  <c r="I513" i="17"/>
  <c r="I512" i="17" s="1"/>
  <c r="K512" i="17" s="1"/>
  <c r="N459" i="17"/>
  <c r="I459" i="17"/>
  <c r="N406" i="17"/>
  <c r="N405" i="17" s="1"/>
  <c r="I406" i="17"/>
  <c r="I405" i="17" s="1"/>
  <c r="J405" i="17" s="1"/>
  <c r="N352" i="17"/>
  <c r="N351" i="17" s="1"/>
  <c r="M351" i="17" s="1"/>
  <c r="N353" i="17" s="1"/>
  <c r="I26" i="17"/>
  <c r="K26" i="17"/>
  <c r="L26" i="17"/>
  <c r="I27" i="17"/>
  <c r="J27" i="17"/>
  <c r="K27" i="17"/>
  <c r="L27" i="17"/>
  <c r="I28" i="17"/>
  <c r="J28" i="17"/>
  <c r="K28" i="17"/>
  <c r="L28" i="17"/>
  <c r="J25" i="17"/>
  <c r="K25" i="17"/>
  <c r="L25" i="17"/>
  <c r="I25" i="17"/>
  <c r="AW53" i="55"/>
  <c r="C47" i="55"/>
  <c r="AR11" i="55"/>
  <c r="AR21" i="55" s="1"/>
  <c r="BF11" i="55"/>
  <c r="E344" i="56"/>
  <c r="AY11" i="55"/>
  <c r="AY21" i="55" s="1"/>
  <c r="J58" i="55"/>
  <c r="E8" i="55"/>
  <c r="I54" i="55" s="1"/>
  <c r="C8" i="55"/>
  <c r="C54" i="55" s="1"/>
  <c r="E7" i="55"/>
  <c r="AW53" i="54"/>
  <c r="C47" i="54"/>
  <c r="AR11" i="54"/>
  <c r="AR21" i="54" s="1"/>
  <c r="J330" i="56"/>
  <c r="AY11" i="54"/>
  <c r="E8" i="54"/>
  <c r="I54" i="54" s="1"/>
  <c r="C8" i="54"/>
  <c r="E7" i="54"/>
  <c r="AW53" i="53"/>
  <c r="C47" i="53"/>
  <c r="AR11" i="53"/>
  <c r="AR21" i="53" s="1"/>
  <c r="BF11" i="53"/>
  <c r="I313" i="56"/>
  <c r="E8" i="53"/>
  <c r="I54" i="53" s="1"/>
  <c r="C8" i="53"/>
  <c r="E7" i="53"/>
  <c r="AW53" i="52"/>
  <c r="C47" i="52"/>
  <c r="AR11" i="52"/>
  <c r="AR21" i="52" s="1"/>
  <c r="BF11" i="52"/>
  <c r="BF21" i="52" s="1"/>
  <c r="J58" i="52"/>
  <c r="E8" i="52"/>
  <c r="I54" i="52" s="1"/>
  <c r="C8" i="52"/>
  <c r="E7" i="52"/>
  <c r="AW53" i="51"/>
  <c r="C47" i="51"/>
  <c r="AR11" i="51"/>
  <c r="AR21" i="51" s="1"/>
  <c r="J279" i="56"/>
  <c r="E276" i="56"/>
  <c r="AY11" i="51"/>
  <c r="AY21" i="51" s="1"/>
  <c r="E8" i="51"/>
  <c r="I54" i="51" s="1"/>
  <c r="C8" i="51"/>
  <c r="G279" i="56" s="1"/>
  <c r="E7" i="51"/>
  <c r="AW53" i="50"/>
  <c r="C47" i="50"/>
  <c r="AR11" i="50"/>
  <c r="AR21" i="50" s="1"/>
  <c r="E259" i="56"/>
  <c r="I262" i="56"/>
  <c r="E8" i="50"/>
  <c r="I54" i="50" s="1"/>
  <c r="C8" i="50"/>
  <c r="G262" i="56" s="1"/>
  <c r="E7" i="50"/>
  <c r="AW53" i="49"/>
  <c r="C47" i="49"/>
  <c r="AR11" i="49"/>
  <c r="AR21" i="49" s="1"/>
  <c r="BF11" i="49"/>
  <c r="BF21" i="49" s="1"/>
  <c r="E8" i="49"/>
  <c r="I54" i="49" s="1"/>
  <c r="C8" i="49"/>
  <c r="C54" i="49" s="1"/>
  <c r="E7" i="49"/>
  <c r="AW53" i="48"/>
  <c r="C47" i="48"/>
  <c r="AR11" i="48"/>
  <c r="AR21" i="48" s="1"/>
  <c r="BF11" i="48"/>
  <c r="AY11" i="48"/>
  <c r="AY21" i="48" s="1"/>
  <c r="E8" i="48"/>
  <c r="I54" i="48" s="1"/>
  <c r="C8" i="48"/>
  <c r="E7" i="48"/>
  <c r="AW53" i="47"/>
  <c r="C47" i="47"/>
  <c r="AR11" i="47"/>
  <c r="AR21" i="47" s="1"/>
  <c r="BF11" i="47"/>
  <c r="AY11" i="47"/>
  <c r="AY21" i="47" s="1"/>
  <c r="E8" i="47"/>
  <c r="I54" i="47" s="1"/>
  <c r="C8" i="47"/>
  <c r="C54" i="47" s="1"/>
  <c r="E7" i="47"/>
  <c r="AW53" i="46"/>
  <c r="C47" i="46"/>
  <c r="AR11" i="46"/>
  <c r="AR21" i="46" s="1"/>
  <c r="J194" i="56"/>
  <c r="E191" i="56"/>
  <c r="E8" i="46"/>
  <c r="I54" i="46" s="1"/>
  <c r="C8" i="46"/>
  <c r="E7" i="46"/>
  <c r="AW53" i="45"/>
  <c r="C47" i="45"/>
  <c r="AR11" i="45"/>
  <c r="AR21" i="45" s="1"/>
  <c r="BF11" i="45"/>
  <c r="AY11" i="45"/>
  <c r="J58" i="45"/>
  <c r="E8" i="45"/>
  <c r="I54" i="45" s="1"/>
  <c r="C8" i="45"/>
  <c r="G177" i="56" s="1"/>
  <c r="E7" i="45"/>
  <c r="AW53" i="44"/>
  <c r="C47" i="44"/>
  <c r="AR11" i="44"/>
  <c r="AR21" i="44" s="1"/>
  <c r="J160" i="56"/>
  <c r="E157" i="56"/>
  <c r="AY11" i="44"/>
  <c r="E8" i="44"/>
  <c r="I54" i="44" s="1"/>
  <c r="C8" i="44"/>
  <c r="G160" i="56" s="1"/>
  <c r="E7" i="44"/>
  <c r="AW53" i="43"/>
  <c r="C47" i="43"/>
  <c r="AR11" i="43"/>
  <c r="AR21" i="43" s="1"/>
  <c r="BF11" i="43"/>
  <c r="BF21" i="43" s="1"/>
  <c r="E140" i="56"/>
  <c r="AY11" i="43"/>
  <c r="AY21" i="43" s="1"/>
  <c r="J58" i="43"/>
  <c r="E8" i="43"/>
  <c r="I54" i="43" s="1"/>
  <c r="C8" i="43"/>
  <c r="E7" i="43"/>
  <c r="AW53" i="42"/>
  <c r="C47" i="42"/>
  <c r="AR11" i="42"/>
  <c r="AR21" i="42" s="1"/>
  <c r="E123" i="56"/>
  <c r="E8" i="42"/>
  <c r="I54" i="42" s="1"/>
  <c r="C8" i="42"/>
  <c r="E7" i="42"/>
  <c r="AW53" i="41"/>
  <c r="C47" i="41"/>
  <c r="AR11" i="41"/>
  <c r="AR21" i="41" s="1"/>
  <c r="J109" i="56"/>
  <c r="E8" i="41"/>
  <c r="I54" i="41" s="1"/>
  <c r="C8" i="41"/>
  <c r="E7" i="41"/>
  <c r="AW53" i="40"/>
  <c r="C47" i="40"/>
  <c r="AR11" i="40"/>
  <c r="AR21" i="40" s="1"/>
  <c r="J92" i="56"/>
  <c r="E8" i="40"/>
  <c r="I54" i="40" s="1"/>
  <c r="C8" i="40"/>
  <c r="G92" i="56" s="1"/>
  <c r="E7" i="40"/>
  <c r="AW53" i="39"/>
  <c r="C47" i="39"/>
  <c r="AR11" i="39"/>
  <c r="AR21" i="39" s="1"/>
  <c r="J75" i="56"/>
  <c r="E72" i="56"/>
  <c r="AY11" i="39"/>
  <c r="E8" i="39"/>
  <c r="I54" i="39" s="1"/>
  <c r="C8" i="39"/>
  <c r="C54" i="39" s="1"/>
  <c r="E7" i="39"/>
  <c r="N530" i="45"/>
  <c r="AW53" i="38"/>
  <c r="C47" i="38"/>
  <c r="AR11" i="38"/>
  <c r="AR21" i="38" s="1"/>
  <c r="E55" i="56"/>
  <c r="AY11" i="38"/>
  <c r="AY21" i="38" s="1"/>
  <c r="E8" i="38"/>
  <c r="I54" i="38" s="1"/>
  <c r="C8" i="38"/>
  <c r="E7" i="38"/>
  <c r="AW53" i="37"/>
  <c r="C47" i="37"/>
  <c r="AR11" i="37"/>
  <c r="AR21" i="37" s="1"/>
  <c r="J41" i="56"/>
  <c r="E38" i="56"/>
  <c r="J58" i="37"/>
  <c r="E8" i="37"/>
  <c r="I54" i="37" s="1"/>
  <c r="G41" i="56"/>
  <c r="E7" i="37"/>
  <c r="Q98" i="17"/>
  <c r="Q99" i="17"/>
  <c r="Q100" i="17"/>
  <c r="R29" i="17" s="1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I12" i="17" s="1"/>
  <c r="Q97" i="17"/>
  <c r="AR11" i="17"/>
  <c r="AR21" i="17" s="1"/>
  <c r="C47" i="17"/>
  <c r="J24" i="56"/>
  <c r="E21" i="56"/>
  <c r="C18" i="17"/>
  <c r="J58" i="17" s="1"/>
  <c r="E8" i="17"/>
  <c r="I54" i="17" s="1"/>
  <c r="G24" i="56"/>
  <c r="E7" i="17"/>
  <c r="G26" i="58" l="1"/>
  <c r="I47" i="63" s="1"/>
  <c r="G47" i="63"/>
  <c r="G21" i="58"/>
  <c r="I42" i="63" s="1"/>
  <c r="G42" i="63"/>
  <c r="G27" i="58"/>
  <c r="I48" i="63" s="1"/>
  <c r="G48" i="63"/>
  <c r="G22" i="58"/>
  <c r="I43" i="63" s="1"/>
  <c r="G43" i="63"/>
  <c r="G18" i="58"/>
  <c r="I39" i="63" s="1"/>
  <c r="G39" i="63"/>
  <c r="G17" i="58"/>
  <c r="I38" i="63" s="1"/>
  <c r="G38" i="63"/>
  <c r="G23" i="58"/>
  <c r="I44" i="63" s="1"/>
  <c r="G44" i="63"/>
  <c r="G19" i="58"/>
  <c r="I40" i="63" s="1"/>
  <c r="G40" i="63"/>
  <c r="H21" i="58"/>
  <c r="K42" i="63" s="1"/>
  <c r="J32" i="66"/>
  <c r="L32" i="66" s="1"/>
  <c r="N18" i="63"/>
  <c r="N15" i="63"/>
  <c r="H30" i="62"/>
  <c r="J20" i="66"/>
  <c r="L20" i="66" s="1"/>
  <c r="H15" i="58"/>
  <c r="K36" i="63" s="1"/>
  <c r="J26" i="66"/>
  <c r="L26" i="66" s="1"/>
  <c r="H20" i="58"/>
  <c r="J31" i="66"/>
  <c r="L31" i="66" s="1"/>
  <c r="H27" i="58"/>
  <c r="K48" i="63" s="1"/>
  <c r="J38" i="66"/>
  <c r="L38" i="66" s="1"/>
  <c r="H10" i="58"/>
  <c r="K31" i="63" s="1"/>
  <c r="J21" i="66"/>
  <c r="L21" i="66" s="1"/>
  <c r="H16" i="58"/>
  <c r="K37" i="63" s="1"/>
  <c r="J27" i="66"/>
  <c r="L27" i="66" s="1"/>
  <c r="H22" i="58"/>
  <c r="J33" i="66"/>
  <c r="L33" i="66" s="1"/>
  <c r="H11" i="58"/>
  <c r="K32" i="63" s="1"/>
  <c r="J22" i="66"/>
  <c r="L22" i="66" s="1"/>
  <c r="H17" i="58"/>
  <c r="K38" i="63" s="1"/>
  <c r="J28" i="66"/>
  <c r="L28" i="66" s="1"/>
  <c r="H23" i="58"/>
  <c r="K44" i="63" s="1"/>
  <c r="J34" i="66"/>
  <c r="L34" i="66" s="1"/>
  <c r="H12" i="58"/>
  <c r="J23" i="66"/>
  <c r="L23" i="66" s="1"/>
  <c r="H18" i="58"/>
  <c r="K39" i="63" s="1"/>
  <c r="J29" i="66"/>
  <c r="L29" i="66" s="1"/>
  <c r="H24" i="58"/>
  <c r="K45" i="63" s="1"/>
  <c r="J35" i="66"/>
  <c r="L35" i="66" s="1"/>
  <c r="H13" i="58"/>
  <c r="K34" i="63" s="1"/>
  <c r="J24" i="66"/>
  <c r="L24" i="66" s="1"/>
  <c r="H19" i="58"/>
  <c r="J30" i="66"/>
  <c r="L30" i="66" s="1"/>
  <c r="H25" i="58"/>
  <c r="K46" i="63" s="1"/>
  <c r="J36" i="66"/>
  <c r="L36" i="66" s="1"/>
  <c r="H14" i="58"/>
  <c r="K35" i="63" s="1"/>
  <c r="J25" i="66"/>
  <c r="L25" i="66" s="1"/>
  <c r="H26" i="58"/>
  <c r="K47" i="63" s="1"/>
  <c r="J37" i="66"/>
  <c r="L37" i="66" s="1"/>
  <c r="J19" i="66"/>
  <c r="L19" i="66" s="1"/>
  <c r="G25" i="58"/>
  <c r="I46" i="63" s="1"/>
  <c r="G24" i="58"/>
  <c r="I45" i="63" s="1"/>
  <c r="G20" i="58"/>
  <c r="I41" i="63" s="1"/>
  <c r="G16" i="58"/>
  <c r="I37" i="63" s="1"/>
  <c r="G15" i="58"/>
  <c r="I36" i="63" s="1"/>
  <c r="G14" i="58"/>
  <c r="I35" i="63" s="1"/>
  <c r="G13" i="58"/>
  <c r="I34" i="63" s="1"/>
  <c r="G12" i="58"/>
  <c r="I33" i="63" s="1"/>
  <c r="G11" i="58"/>
  <c r="I32" i="63" s="1"/>
  <c r="G10" i="58"/>
  <c r="I31" i="63" s="1"/>
  <c r="I458" i="37"/>
  <c r="K458" i="37" s="1"/>
  <c r="N476" i="37"/>
  <c r="N476" i="38"/>
  <c r="O476" i="38" s="1"/>
  <c r="I458" i="40"/>
  <c r="K458" i="40" s="1"/>
  <c r="N491" i="43"/>
  <c r="I491" i="44"/>
  <c r="N476" i="45"/>
  <c r="I476" i="46"/>
  <c r="H476" i="46" s="1"/>
  <c r="N458" i="47"/>
  <c r="N491" i="50"/>
  <c r="I476" i="51"/>
  <c r="I476" i="52"/>
  <c r="I458" i="53"/>
  <c r="J458" i="53" s="1"/>
  <c r="I458" i="54"/>
  <c r="K458" i="54" s="1"/>
  <c r="N491" i="55"/>
  <c r="O491" i="55" s="1"/>
  <c r="I476" i="17"/>
  <c r="J476" i="17" s="1"/>
  <c r="I491" i="17"/>
  <c r="H491" i="17" s="1"/>
  <c r="I493" i="17" s="1"/>
  <c r="I476" i="37"/>
  <c r="H476" i="37" s="1"/>
  <c r="H478" i="37" s="1"/>
  <c r="K476" i="37" s="1"/>
  <c r="I491" i="38"/>
  <c r="K491" i="38" s="1"/>
  <c r="N458" i="40"/>
  <c r="M458" i="40" s="1"/>
  <c r="M460" i="40" s="1"/>
  <c r="I458" i="41"/>
  <c r="H458" i="41" s="1"/>
  <c r="H460" i="41" s="1"/>
  <c r="N491" i="44"/>
  <c r="I491" i="45"/>
  <c r="N476" i="46"/>
  <c r="I476" i="47"/>
  <c r="N476" i="51"/>
  <c r="O476" i="51" s="1"/>
  <c r="N476" i="52"/>
  <c r="N458" i="53"/>
  <c r="P458" i="53" s="1"/>
  <c r="N458" i="54"/>
  <c r="O458" i="54" s="1"/>
  <c r="I458" i="17"/>
  <c r="K458" i="17" s="1"/>
  <c r="N476" i="17"/>
  <c r="P476" i="17" s="1"/>
  <c r="N491" i="17"/>
  <c r="P491" i="17" s="1"/>
  <c r="I491" i="37"/>
  <c r="J491" i="37" s="1"/>
  <c r="N491" i="38"/>
  <c r="M491" i="38" s="1"/>
  <c r="I476" i="40"/>
  <c r="H476" i="40" s="1"/>
  <c r="H478" i="40" s="1"/>
  <c r="N458" i="41"/>
  <c r="O458" i="41" s="1"/>
  <c r="I458" i="42"/>
  <c r="N491" i="45"/>
  <c r="I491" i="46"/>
  <c r="N476" i="47"/>
  <c r="P476" i="47" s="1"/>
  <c r="I458" i="48"/>
  <c r="J458" i="48" s="1"/>
  <c r="I458" i="49"/>
  <c r="I491" i="51"/>
  <c r="K491" i="51" s="1"/>
  <c r="I491" i="52"/>
  <c r="J491" i="52" s="1"/>
  <c r="I476" i="53"/>
  <c r="I476" i="54"/>
  <c r="N458" i="17"/>
  <c r="O458" i="17" s="1"/>
  <c r="N476" i="40"/>
  <c r="I476" i="41"/>
  <c r="J476" i="41" s="1"/>
  <c r="N458" i="42"/>
  <c r="P458" i="42" s="1"/>
  <c r="I458" i="43"/>
  <c r="N491" i="46"/>
  <c r="I491" i="47"/>
  <c r="H491" i="47" s="1"/>
  <c r="N458" i="48"/>
  <c r="M458" i="48" s="1"/>
  <c r="N458" i="49"/>
  <c r="M458" i="49" s="1"/>
  <c r="I458" i="50"/>
  <c r="J458" i="50" s="1"/>
  <c r="N491" i="51"/>
  <c r="O491" i="51" s="1"/>
  <c r="N491" i="52"/>
  <c r="N476" i="53"/>
  <c r="P476" i="53" s="1"/>
  <c r="N476" i="54"/>
  <c r="I458" i="55"/>
  <c r="K458" i="55" s="1"/>
  <c r="N458" i="37"/>
  <c r="I491" i="40"/>
  <c r="N476" i="41"/>
  <c r="M476" i="41" s="1"/>
  <c r="I476" i="42"/>
  <c r="N458" i="43"/>
  <c r="P458" i="43" s="1"/>
  <c r="I458" i="44"/>
  <c r="N491" i="47"/>
  <c r="O491" i="47" s="1"/>
  <c r="N476" i="48"/>
  <c r="I476" i="49"/>
  <c r="N458" i="50"/>
  <c r="M458" i="50" s="1"/>
  <c r="I491" i="53"/>
  <c r="J491" i="53" s="1"/>
  <c r="I491" i="54"/>
  <c r="K491" i="54" s="1"/>
  <c r="N458" i="55"/>
  <c r="O458" i="55" s="1"/>
  <c r="I458" i="38"/>
  <c r="H458" i="38" s="1"/>
  <c r="N491" i="40"/>
  <c r="P491" i="40" s="1"/>
  <c r="I491" i="41"/>
  <c r="N476" i="42"/>
  <c r="I476" i="43"/>
  <c r="H476" i="43" s="1"/>
  <c r="H478" i="43" s="1"/>
  <c r="K476" i="43" s="1"/>
  <c r="N458" i="44"/>
  <c r="I458" i="45"/>
  <c r="I476" i="48"/>
  <c r="H476" i="48" s="1"/>
  <c r="N476" i="49"/>
  <c r="I476" i="50"/>
  <c r="N491" i="53"/>
  <c r="M491" i="53" s="1"/>
  <c r="N493" i="53" s="1"/>
  <c r="N491" i="54"/>
  <c r="I476" i="55"/>
  <c r="N458" i="38"/>
  <c r="M458" i="38" s="1"/>
  <c r="N491" i="41"/>
  <c r="O491" i="41" s="1"/>
  <c r="I491" i="42"/>
  <c r="K491" i="42" s="1"/>
  <c r="N476" i="43"/>
  <c r="I476" i="44"/>
  <c r="J476" i="44" s="1"/>
  <c r="N458" i="45"/>
  <c r="O458" i="45" s="1"/>
  <c r="I458" i="46"/>
  <c r="K458" i="46" s="1"/>
  <c r="I491" i="48"/>
  <c r="H491" i="48" s="1"/>
  <c r="I491" i="49"/>
  <c r="K491" i="49" s="1"/>
  <c r="N476" i="50"/>
  <c r="I458" i="51"/>
  <c r="K458" i="51" s="1"/>
  <c r="I458" i="52"/>
  <c r="J458" i="52" s="1"/>
  <c r="N476" i="55"/>
  <c r="M476" i="55" s="1"/>
  <c r="N491" i="37"/>
  <c r="O491" i="37" s="1"/>
  <c r="I476" i="38"/>
  <c r="H476" i="38" s="1"/>
  <c r="I478" i="38" s="1"/>
  <c r="K478" i="38" s="1"/>
  <c r="N491" i="42"/>
  <c r="P491" i="42" s="1"/>
  <c r="I491" i="43"/>
  <c r="N476" i="44"/>
  <c r="I476" i="45"/>
  <c r="J476" i="45" s="1"/>
  <c r="N458" i="46"/>
  <c r="O458" i="46" s="1"/>
  <c r="I458" i="47"/>
  <c r="N491" i="48"/>
  <c r="M491" i="48" s="1"/>
  <c r="N493" i="48" s="1"/>
  <c r="P493" i="48" s="1"/>
  <c r="N491" i="49"/>
  <c r="I491" i="50"/>
  <c r="H491" i="50" s="1"/>
  <c r="N458" i="51"/>
  <c r="O458" i="51" s="1"/>
  <c r="N458" i="52"/>
  <c r="I491" i="55"/>
  <c r="J491" i="55" s="1"/>
  <c r="N458" i="39"/>
  <c r="N491" i="39"/>
  <c r="I458" i="39"/>
  <c r="I476" i="39"/>
  <c r="H476" i="39" s="1"/>
  <c r="I478" i="39" s="1"/>
  <c r="J478" i="39" s="1"/>
  <c r="N476" i="39"/>
  <c r="M476" i="39" s="1"/>
  <c r="I491" i="39"/>
  <c r="AY11" i="37"/>
  <c r="I41" i="56"/>
  <c r="C54" i="37"/>
  <c r="E29" i="63"/>
  <c r="M20" i="62"/>
  <c r="M17" i="62"/>
  <c r="C39" i="46"/>
  <c r="O423" i="42"/>
  <c r="P423" i="42"/>
  <c r="I371" i="41"/>
  <c r="K371" i="41" s="1"/>
  <c r="K370" i="41" s="1"/>
  <c r="J369" i="41"/>
  <c r="O369" i="44"/>
  <c r="O351" i="51"/>
  <c r="P423" i="55"/>
  <c r="C54" i="40"/>
  <c r="C54" i="45"/>
  <c r="F293" i="56"/>
  <c r="J307" i="56"/>
  <c r="C98" i="58"/>
  <c r="X13" i="58" s="1"/>
  <c r="C100" i="58"/>
  <c r="V15" i="58" s="1"/>
  <c r="C102" i="58"/>
  <c r="T17" i="58" s="1"/>
  <c r="I440" i="42"/>
  <c r="J440" i="42" s="1"/>
  <c r="H405" i="50"/>
  <c r="H407" i="50" s="1"/>
  <c r="I514" i="50"/>
  <c r="K514" i="50" s="1"/>
  <c r="J405" i="50"/>
  <c r="M384" i="53"/>
  <c r="N386" i="53" s="1"/>
  <c r="M532" i="53"/>
  <c r="O530" i="53"/>
  <c r="G245" i="56"/>
  <c r="C108" i="58"/>
  <c r="V23" i="58" s="1"/>
  <c r="C110" i="58"/>
  <c r="U25" i="58" s="1"/>
  <c r="C112" i="58"/>
  <c r="V27" i="58" s="1"/>
  <c r="C54" i="44"/>
  <c r="I211" i="56"/>
  <c r="I425" i="40"/>
  <c r="K425" i="40" s="1"/>
  <c r="K424" i="40" s="1"/>
  <c r="J58" i="50"/>
  <c r="C95" i="58"/>
  <c r="C99" i="58"/>
  <c r="C109" i="58"/>
  <c r="J423" i="40"/>
  <c r="H545" i="54"/>
  <c r="I547" i="54" s="1"/>
  <c r="J547" i="54" s="1"/>
  <c r="J245" i="56"/>
  <c r="C106" i="58"/>
  <c r="AF90" i="50"/>
  <c r="AJ120" i="50" s="1"/>
  <c r="AJ119" i="50" s="1"/>
  <c r="AJ118" i="50" s="1"/>
  <c r="AJ117" i="50" s="1"/>
  <c r="AJ116" i="50" s="1"/>
  <c r="AJ115" i="50" s="1"/>
  <c r="AJ114" i="50" s="1"/>
  <c r="AJ113" i="50" s="1"/>
  <c r="AJ112" i="50" s="1"/>
  <c r="AJ111" i="50" s="1"/>
  <c r="AJ110" i="50" s="1"/>
  <c r="AJ109" i="50" s="1"/>
  <c r="AJ108" i="50" s="1"/>
  <c r="AJ107" i="50" s="1"/>
  <c r="AJ106" i="50" s="1"/>
  <c r="AJ105" i="50" s="1"/>
  <c r="AJ104" i="50" s="1"/>
  <c r="AJ103" i="50" s="1"/>
  <c r="AJ102" i="50" s="1"/>
  <c r="AJ101" i="50" s="1"/>
  <c r="AJ100" i="50" s="1"/>
  <c r="AJ99" i="50" s="1"/>
  <c r="AJ98" i="50" s="1"/>
  <c r="AJ97" i="50" s="1"/>
  <c r="AR124" i="50" s="1"/>
  <c r="P423" i="53"/>
  <c r="O423" i="53"/>
  <c r="H369" i="48"/>
  <c r="I371" i="48" s="1"/>
  <c r="K512" i="50"/>
  <c r="K545" i="44"/>
  <c r="P530" i="53"/>
  <c r="J323" i="56"/>
  <c r="P491" i="50"/>
  <c r="O491" i="50"/>
  <c r="J423" i="53"/>
  <c r="H423" i="53"/>
  <c r="H425" i="53" s="1"/>
  <c r="K423" i="53" s="1"/>
  <c r="C39" i="43"/>
  <c r="M26" i="41"/>
  <c r="M26" i="39"/>
  <c r="P351" i="47"/>
  <c r="K405" i="48"/>
  <c r="M25" i="17"/>
  <c r="M25" i="37"/>
  <c r="M27" i="37"/>
  <c r="M28" i="38"/>
  <c r="M26" i="38"/>
  <c r="C39" i="37"/>
  <c r="M28" i="41"/>
  <c r="M28" i="39"/>
  <c r="J512" i="50"/>
  <c r="O532" i="53"/>
  <c r="M351" i="47"/>
  <c r="P384" i="53"/>
  <c r="K512" i="40"/>
  <c r="J512" i="40"/>
  <c r="H512" i="40"/>
  <c r="H514" i="40" s="1"/>
  <c r="M384" i="41"/>
  <c r="M386" i="41" s="1"/>
  <c r="P384" i="41"/>
  <c r="O384" i="41"/>
  <c r="M532" i="41"/>
  <c r="N532" i="41"/>
  <c r="P532" i="41" s="1"/>
  <c r="I425" i="48"/>
  <c r="K425" i="48" s="1"/>
  <c r="H425" i="48"/>
  <c r="K423" i="48" s="1"/>
  <c r="H493" i="48"/>
  <c r="I493" i="48"/>
  <c r="K493" i="48" s="1"/>
  <c r="P545" i="50"/>
  <c r="M545" i="50"/>
  <c r="M547" i="50" s="1"/>
  <c r="K384" i="51"/>
  <c r="J384" i="51"/>
  <c r="H384" i="51"/>
  <c r="I386" i="51" s="1"/>
  <c r="J386" i="51" s="1"/>
  <c r="H491" i="52"/>
  <c r="I493" i="52" s="1"/>
  <c r="K493" i="52" s="1"/>
  <c r="O351" i="40"/>
  <c r="M369" i="47"/>
  <c r="M371" i="47" s="1"/>
  <c r="J423" i="48"/>
  <c r="J476" i="46"/>
  <c r="J296" i="56"/>
  <c r="P351" i="17"/>
  <c r="O405" i="47"/>
  <c r="J512" i="51"/>
  <c r="K491" i="52"/>
  <c r="P405" i="54"/>
  <c r="J476" i="43"/>
  <c r="H476" i="44"/>
  <c r="H478" i="44" s="1"/>
  <c r="K476" i="44" s="1"/>
  <c r="J545" i="51"/>
  <c r="J423" i="55"/>
  <c r="M423" i="53"/>
  <c r="M425" i="53" s="1"/>
  <c r="H405" i="46"/>
  <c r="I407" i="46" s="1"/>
  <c r="K407" i="46" s="1"/>
  <c r="K405" i="44"/>
  <c r="F174" i="56"/>
  <c r="K405" i="46"/>
  <c r="I24" i="47"/>
  <c r="J24" i="47" s="1"/>
  <c r="K24" i="47" s="1"/>
  <c r="L24" i="47" s="1"/>
  <c r="M24" i="47" s="1"/>
  <c r="N31" i="47" s="1"/>
  <c r="M371" i="52"/>
  <c r="M423" i="42"/>
  <c r="N425" i="42" s="1"/>
  <c r="P425" i="42" s="1"/>
  <c r="H545" i="55"/>
  <c r="I547" i="55" s="1"/>
  <c r="M25" i="51"/>
  <c r="J530" i="37"/>
  <c r="J531" i="37" s="1"/>
  <c r="R521" i="37" s="1"/>
  <c r="N407" i="47"/>
  <c r="P407" i="47" s="1"/>
  <c r="P405" i="47"/>
  <c r="H512" i="51"/>
  <c r="I514" i="51" s="1"/>
  <c r="O405" i="54"/>
  <c r="H423" i="39"/>
  <c r="I425" i="39" s="1"/>
  <c r="J425" i="39" s="1"/>
  <c r="J424" i="39" s="1"/>
  <c r="R414" i="39" s="1"/>
  <c r="J405" i="44"/>
  <c r="H545" i="44"/>
  <c r="I547" i="44" s="1"/>
  <c r="P369" i="47"/>
  <c r="J351" i="45"/>
  <c r="C39" i="17"/>
  <c r="AF90" i="17"/>
  <c r="H491" i="45"/>
  <c r="H493" i="45" s="1"/>
  <c r="K491" i="45"/>
  <c r="K458" i="47"/>
  <c r="J458" i="47"/>
  <c r="H493" i="50"/>
  <c r="I493" i="50"/>
  <c r="J493" i="50" s="1"/>
  <c r="O384" i="51"/>
  <c r="M384" i="51"/>
  <c r="M386" i="51" s="1"/>
  <c r="P384" i="51"/>
  <c r="H476" i="54"/>
  <c r="J476" i="54"/>
  <c r="J369" i="39"/>
  <c r="H369" i="39"/>
  <c r="H371" i="39" s="1"/>
  <c r="K369" i="39" s="1"/>
  <c r="P351" i="42"/>
  <c r="M351" i="42"/>
  <c r="N353" i="42" s="1"/>
  <c r="O351" i="42"/>
  <c r="P545" i="42"/>
  <c r="O384" i="54"/>
  <c r="M423" i="50"/>
  <c r="N425" i="50" s="1"/>
  <c r="P423" i="50"/>
  <c r="J512" i="52"/>
  <c r="H512" i="52"/>
  <c r="I514" i="52" s="1"/>
  <c r="H369" i="53"/>
  <c r="H371" i="53" s="1"/>
  <c r="K369" i="53" s="1"/>
  <c r="J369" i="53"/>
  <c r="K384" i="54"/>
  <c r="H384" i="54"/>
  <c r="I386" i="54" s="1"/>
  <c r="K351" i="55"/>
  <c r="J351" i="55"/>
  <c r="O438" i="44"/>
  <c r="N514" i="55"/>
  <c r="P514" i="55" s="1"/>
  <c r="J143" i="56"/>
  <c r="J351" i="42"/>
  <c r="H351" i="42"/>
  <c r="H353" i="42" s="1"/>
  <c r="J58" i="49"/>
  <c r="BF11" i="50"/>
  <c r="BF21" i="50" s="1"/>
  <c r="J262" i="56"/>
  <c r="J545" i="41"/>
  <c r="K545" i="41"/>
  <c r="M438" i="50"/>
  <c r="O438" i="50"/>
  <c r="J58" i="47"/>
  <c r="M547" i="47"/>
  <c r="N547" i="47"/>
  <c r="O547" i="47" s="1"/>
  <c r="M423" i="48"/>
  <c r="N425" i="48" s="1"/>
  <c r="O425" i="48" s="1"/>
  <c r="O423" i="48"/>
  <c r="H384" i="52"/>
  <c r="I386" i="52" s="1"/>
  <c r="J384" i="52"/>
  <c r="C54" i="53"/>
  <c r="G313" i="56"/>
  <c r="P545" i="53"/>
  <c r="M545" i="53"/>
  <c r="N547" i="53" s="1"/>
  <c r="P547" i="53" s="1"/>
  <c r="H425" i="55"/>
  <c r="K423" i="55" s="1"/>
  <c r="I425" i="55"/>
  <c r="J425" i="55" s="1"/>
  <c r="C39" i="53"/>
  <c r="P438" i="37"/>
  <c r="O545" i="42"/>
  <c r="J491" i="42"/>
  <c r="M438" i="43"/>
  <c r="N440" i="43" s="1"/>
  <c r="O440" i="43" s="1"/>
  <c r="P438" i="43"/>
  <c r="O545" i="47"/>
  <c r="O423" i="50"/>
  <c r="K384" i="52"/>
  <c r="M384" i="54"/>
  <c r="N386" i="54" s="1"/>
  <c r="C54" i="51"/>
  <c r="O351" i="17"/>
  <c r="N547" i="42"/>
  <c r="O547" i="42" s="1"/>
  <c r="M438" i="44"/>
  <c r="M440" i="44" s="1"/>
  <c r="P438" i="50"/>
  <c r="H491" i="42"/>
  <c r="P545" i="47"/>
  <c r="H545" i="51"/>
  <c r="I547" i="51" s="1"/>
  <c r="O545" i="53"/>
  <c r="M423" i="55"/>
  <c r="M425" i="55" s="1"/>
  <c r="J308" i="56"/>
  <c r="M351" i="39"/>
  <c r="N353" i="39" s="1"/>
  <c r="P351" i="39"/>
  <c r="M438" i="41"/>
  <c r="O438" i="41"/>
  <c r="M26" i="42"/>
  <c r="K512" i="42"/>
  <c r="J512" i="42"/>
  <c r="N60" i="62"/>
  <c r="E4" i="64"/>
  <c r="H530" i="39"/>
  <c r="I532" i="39" s="1"/>
  <c r="M27" i="17"/>
  <c r="M28" i="42"/>
  <c r="M26" i="55"/>
  <c r="M25" i="44"/>
  <c r="M27" i="44"/>
  <c r="M25" i="45"/>
  <c r="M27" i="45"/>
  <c r="M25" i="46"/>
  <c r="M27" i="54"/>
  <c r="M25" i="50"/>
  <c r="M27" i="50"/>
  <c r="C39" i="52"/>
  <c r="M28" i="53"/>
  <c r="M26" i="53"/>
  <c r="K438" i="54"/>
  <c r="H438" i="54"/>
  <c r="J438" i="54"/>
  <c r="K384" i="55"/>
  <c r="H384" i="55"/>
  <c r="I386" i="55" s="1"/>
  <c r="J384" i="55"/>
  <c r="M512" i="38"/>
  <c r="M514" i="38" s="1"/>
  <c r="O512" i="38"/>
  <c r="M438" i="40"/>
  <c r="P438" i="40"/>
  <c r="P512" i="40"/>
  <c r="M512" i="40"/>
  <c r="N514" i="40" s="1"/>
  <c r="P514" i="40" s="1"/>
  <c r="D296" i="56"/>
  <c r="E296" i="56" s="1"/>
  <c r="F296" i="56" s="1"/>
  <c r="P512" i="49"/>
  <c r="M512" i="49"/>
  <c r="J476" i="52"/>
  <c r="H476" i="52"/>
  <c r="H478" i="52" s="1"/>
  <c r="K476" i="52" s="1"/>
  <c r="P369" i="53"/>
  <c r="O369" i="53"/>
  <c r="M369" i="53"/>
  <c r="O438" i="37"/>
  <c r="M545" i="44"/>
  <c r="O545" i="44"/>
  <c r="H458" i="45"/>
  <c r="K458" i="45"/>
  <c r="J458" i="45"/>
  <c r="P369" i="46"/>
  <c r="O369" i="46"/>
  <c r="M438" i="46"/>
  <c r="P438" i="46"/>
  <c r="P512" i="46"/>
  <c r="O512" i="46"/>
  <c r="M512" i="46"/>
  <c r="N514" i="46" s="1"/>
  <c r="P514" i="46" s="1"/>
  <c r="K491" i="47"/>
  <c r="J491" i="47"/>
  <c r="M460" i="48"/>
  <c r="N460" i="48"/>
  <c r="P458" i="49"/>
  <c r="O458" i="49"/>
  <c r="K547" i="46"/>
  <c r="J547" i="46"/>
  <c r="H423" i="47"/>
  <c r="I425" i="47" s="1"/>
  <c r="J425" i="47" s="1"/>
  <c r="J423" i="47"/>
  <c r="H438" i="43"/>
  <c r="K438" i="43"/>
  <c r="J438" i="43"/>
  <c r="P384" i="43"/>
  <c r="N353" i="48"/>
  <c r="O353" i="48" s="1"/>
  <c r="J476" i="40"/>
  <c r="M405" i="45"/>
  <c r="O405" i="45"/>
  <c r="H478" i="46"/>
  <c r="K476" i="46" s="1"/>
  <c r="I478" i="46"/>
  <c r="J478" i="46" s="1"/>
  <c r="K545" i="46"/>
  <c r="J545" i="46"/>
  <c r="M438" i="47"/>
  <c r="M440" i="47" s="1"/>
  <c r="P438" i="47"/>
  <c r="H351" i="48"/>
  <c r="H353" i="48" s="1"/>
  <c r="J351" i="48"/>
  <c r="J491" i="48"/>
  <c r="K491" i="48"/>
  <c r="AF90" i="49"/>
  <c r="AH120" i="49" s="1"/>
  <c r="AH119" i="49" s="1"/>
  <c r="AH118" i="49" s="1"/>
  <c r="AH117" i="49" s="1"/>
  <c r="AH116" i="49" s="1"/>
  <c r="AH115" i="49" s="1"/>
  <c r="AH114" i="49" s="1"/>
  <c r="AH113" i="49" s="1"/>
  <c r="AH112" i="49" s="1"/>
  <c r="AH111" i="49" s="1"/>
  <c r="AH110" i="49" s="1"/>
  <c r="AH109" i="49" s="1"/>
  <c r="AH108" i="49" s="1"/>
  <c r="AH107" i="49" s="1"/>
  <c r="AH106" i="49" s="1"/>
  <c r="AH105" i="49" s="1"/>
  <c r="AH104" i="49" s="1"/>
  <c r="AH103" i="49" s="1"/>
  <c r="AH102" i="49" s="1"/>
  <c r="AH101" i="49" s="1"/>
  <c r="AH100" i="49" s="1"/>
  <c r="C39" i="49"/>
  <c r="J458" i="39"/>
  <c r="H458" i="39"/>
  <c r="I460" i="39" s="1"/>
  <c r="K460" i="39" s="1"/>
  <c r="O423" i="52"/>
  <c r="M423" i="52"/>
  <c r="M425" i="52" s="1"/>
  <c r="P405" i="55"/>
  <c r="O405" i="55"/>
  <c r="I24" i="17"/>
  <c r="J24" i="17" s="1"/>
  <c r="K24" i="17" s="1"/>
  <c r="L24" i="17" s="1"/>
  <c r="M24" i="17" s="1"/>
  <c r="N31" i="17" s="1"/>
  <c r="D24" i="56"/>
  <c r="E24" i="56" s="1"/>
  <c r="F24" i="56" s="1"/>
  <c r="I24" i="44"/>
  <c r="J24" i="44" s="1"/>
  <c r="K24" i="44" s="1"/>
  <c r="L24" i="44" s="1"/>
  <c r="M24" i="44" s="1"/>
  <c r="N31" i="44" s="1"/>
  <c r="D160" i="56"/>
  <c r="E160" i="56" s="1"/>
  <c r="F160" i="56" s="1"/>
  <c r="J512" i="43"/>
  <c r="K512" i="43"/>
  <c r="H423" i="49"/>
  <c r="J423" i="49"/>
  <c r="H369" i="52"/>
  <c r="H371" i="52" s="1"/>
  <c r="J369" i="52"/>
  <c r="O438" i="42"/>
  <c r="P438" i="42"/>
  <c r="K458" i="39"/>
  <c r="M384" i="43"/>
  <c r="J351" i="40"/>
  <c r="H351" i="40"/>
  <c r="P351" i="41"/>
  <c r="O351" i="41"/>
  <c r="H476" i="42"/>
  <c r="J476" i="42"/>
  <c r="AF90" i="41"/>
  <c r="C39" i="41"/>
  <c r="P405" i="41"/>
  <c r="O405" i="41"/>
  <c r="C54" i="42"/>
  <c r="G126" i="56"/>
  <c r="M369" i="50"/>
  <c r="M371" i="50" s="1"/>
  <c r="O369" i="50"/>
  <c r="F242" i="56"/>
  <c r="C54" i="48"/>
  <c r="G228" i="56"/>
  <c r="M351" i="53"/>
  <c r="P351" i="53"/>
  <c r="O351" i="53"/>
  <c r="M25" i="40"/>
  <c r="K405" i="42"/>
  <c r="H405" i="42"/>
  <c r="I407" i="42" s="1"/>
  <c r="K407" i="42" s="1"/>
  <c r="M458" i="43"/>
  <c r="O458" i="43"/>
  <c r="M530" i="43"/>
  <c r="P530" i="43"/>
  <c r="O530" i="43"/>
  <c r="C39" i="38"/>
  <c r="C39" i="54"/>
  <c r="M28" i="43"/>
  <c r="M26" i="43"/>
  <c r="AF90" i="45"/>
  <c r="AK120" i="45" s="1"/>
  <c r="AK119" i="45" s="1"/>
  <c r="AK118" i="45" s="1"/>
  <c r="AK117" i="45" s="1"/>
  <c r="AK116" i="45" s="1"/>
  <c r="AK115" i="45" s="1"/>
  <c r="AK114" i="45" s="1"/>
  <c r="AK113" i="45" s="1"/>
  <c r="AK112" i="45" s="1"/>
  <c r="AK111" i="45" s="1"/>
  <c r="AK110" i="45" s="1"/>
  <c r="AK109" i="45" s="1"/>
  <c r="AK108" i="45" s="1"/>
  <c r="AK107" i="45" s="1"/>
  <c r="AK106" i="45" s="1"/>
  <c r="AK105" i="45" s="1"/>
  <c r="AK104" i="45" s="1"/>
  <c r="AK103" i="45" s="1"/>
  <c r="C39" i="48"/>
  <c r="M27" i="46"/>
  <c r="M25" i="47"/>
  <c r="M27" i="47"/>
  <c r="M25" i="54"/>
  <c r="M491" i="50"/>
  <c r="N493" i="50" s="1"/>
  <c r="M369" i="44"/>
  <c r="N371" i="44" s="1"/>
  <c r="I228" i="56"/>
  <c r="I347" i="56"/>
  <c r="C39" i="50"/>
  <c r="AF90" i="53"/>
  <c r="AH120" i="53" s="1"/>
  <c r="AH119" i="53" s="1"/>
  <c r="AH118" i="53" s="1"/>
  <c r="AH117" i="53" s="1"/>
  <c r="AH116" i="53" s="1"/>
  <c r="AH115" i="53" s="1"/>
  <c r="AH114" i="53" s="1"/>
  <c r="M28" i="37"/>
  <c r="M26" i="37"/>
  <c r="M25" i="38"/>
  <c r="M27" i="38"/>
  <c r="AF90" i="37"/>
  <c r="I425" i="45"/>
  <c r="J425" i="45" s="1"/>
  <c r="J58" i="41"/>
  <c r="AF90" i="40"/>
  <c r="M28" i="52"/>
  <c r="M25" i="55"/>
  <c r="M27" i="55"/>
  <c r="AF90" i="52"/>
  <c r="AJ120" i="52" s="1"/>
  <c r="AJ119" i="52" s="1"/>
  <c r="AJ118" i="52" s="1"/>
  <c r="AJ117" i="52" s="1"/>
  <c r="AJ116" i="52" s="1"/>
  <c r="AJ115" i="52" s="1"/>
  <c r="AJ114" i="52" s="1"/>
  <c r="AJ113" i="52" s="1"/>
  <c r="AJ112" i="52" s="1"/>
  <c r="AJ111" i="52" s="1"/>
  <c r="AJ110" i="52" s="1"/>
  <c r="AJ109" i="52" s="1"/>
  <c r="AJ108" i="52" s="1"/>
  <c r="AJ107" i="52" s="1"/>
  <c r="AJ106" i="52" s="1"/>
  <c r="N460" i="50"/>
  <c r="P460" i="50" s="1"/>
  <c r="M460" i="50"/>
  <c r="M458" i="55"/>
  <c r="M384" i="42"/>
  <c r="M386" i="42" s="1"/>
  <c r="O384" i="42"/>
  <c r="P384" i="42"/>
  <c r="P530" i="42"/>
  <c r="O530" i="42"/>
  <c r="M530" i="42"/>
  <c r="M532" i="42" s="1"/>
  <c r="K458" i="43"/>
  <c r="J458" i="43"/>
  <c r="H458" i="43"/>
  <c r="I460" i="43" s="1"/>
  <c r="K460" i="43" s="1"/>
  <c r="P491" i="44"/>
  <c r="M491" i="44"/>
  <c r="M493" i="44" s="1"/>
  <c r="O491" i="44"/>
  <c r="K545" i="45"/>
  <c r="J545" i="45"/>
  <c r="H545" i="45"/>
  <c r="H547" i="45" s="1"/>
  <c r="P384" i="46"/>
  <c r="M384" i="46"/>
  <c r="O384" i="46"/>
  <c r="P530" i="46"/>
  <c r="O530" i="46"/>
  <c r="P545" i="48"/>
  <c r="O545" i="48"/>
  <c r="M545" i="48"/>
  <c r="M547" i="48" s="1"/>
  <c r="P353" i="43"/>
  <c r="O353" i="43"/>
  <c r="P384" i="55"/>
  <c r="M384" i="55"/>
  <c r="M386" i="55" s="1"/>
  <c r="O384" i="55"/>
  <c r="M530" i="50"/>
  <c r="P530" i="50"/>
  <c r="O530" i="50"/>
  <c r="M476" i="52"/>
  <c r="M478" i="52" s="1"/>
  <c r="P476" i="52"/>
  <c r="P386" i="48"/>
  <c r="O386" i="48"/>
  <c r="J530" i="43"/>
  <c r="H530" i="43"/>
  <c r="I532" i="43" s="1"/>
  <c r="M478" i="39"/>
  <c r="N478" i="39"/>
  <c r="O478" i="39" s="1"/>
  <c r="P545" i="39"/>
  <c r="M545" i="39"/>
  <c r="N547" i="39" s="1"/>
  <c r="O545" i="39"/>
  <c r="P384" i="40"/>
  <c r="M384" i="40"/>
  <c r="O384" i="40"/>
  <c r="K384" i="41"/>
  <c r="H384" i="41"/>
  <c r="J384" i="41"/>
  <c r="K438" i="38"/>
  <c r="J438" i="38"/>
  <c r="P530" i="55"/>
  <c r="O530" i="55"/>
  <c r="M530" i="55"/>
  <c r="J351" i="39"/>
  <c r="K407" i="41"/>
  <c r="M386" i="48"/>
  <c r="O438" i="43"/>
  <c r="M491" i="51"/>
  <c r="H458" i="47"/>
  <c r="I460" i="47" s="1"/>
  <c r="M25" i="48"/>
  <c r="M27" i="48"/>
  <c r="M27" i="51"/>
  <c r="M28" i="46"/>
  <c r="M28" i="47"/>
  <c r="M26" i="47"/>
  <c r="M28" i="54"/>
  <c r="H530" i="51"/>
  <c r="M369" i="49"/>
  <c r="N371" i="49" s="1"/>
  <c r="P351" i="51"/>
  <c r="P352" i="51" s="1"/>
  <c r="M545" i="46"/>
  <c r="N547" i="46" s="1"/>
  <c r="C39" i="45"/>
  <c r="O369" i="49"/>
  <c r="J58" i="53"/>
  <c r="AF90" i="46"/>
  <c r="AG120" i="46" s="1"/>
  <c r="AG119" i="46" s="1"/>
  <c r="AG118" i="46" s="1"/>
  <c r="AG117" i="46" s="1"/>
  <c r="AG116" i="46" s="1"/>
  <c r="AG115" i="46" s="1"/>
  <c r="AG114" i="46" s="1"/>
  <c r="AG113" i="46" s="1"/>
  <c r="AG112" i="46" s="1"/>
  <c r="AG111" i="46" s="1"/>
  <c r="AG110" i="46" s="1"/>
  <c r="AG109" i="46" s="1"/>
  <c r="AG108" i="46" s="1"/>
  <c r="AG107" i="46" s="1"/>
  <c r="AG106" i="46" s="1"/>
  <c r="AG105" i="46" s="1"/>
  <c r="AG104" i="46" s="1"/>
  <c r="AG103" i="46" s="1"/>
  <c r="AG102" i="46" s="1"/>
  <c r="D262" i="56"/>
  <c r="E262" i="56" s="1"/>
  <c r="F262" i="56" s="1"/>
  <c r="M25" i="52"/>
  <c r="M27" i="52"/>
  <c r="M28" i="55"/>
  <c r="H512" i="39"/>
  <c r="H514" i="39" s="1"/>
  <c r="H407" i="41"/>
  <c r="M353" i="51"/>
  <c r="H423" i="51"/>
  <c r="H425" i="51" s="1"/>
  <c r="K423" i="51" s="1"/>
  <c r="O405" i="52"/>
  <c r="K512" i="47"/>
  <c r="M25" i="49"/>
  <c r="M27" i="49"/>
  <c r="O438" i="38"/>
  <c r="O353" i="51"/>
  <c r="J512" i="39"/>
  <c r="M353" i="43"/>
  <c r="P405" i="52"/>
  <c r="H512" i="47"/>
  <c r="H514" i="47" s="1"/>
  <c r="H369" i="55"/>
  <c r="H371" i="55" s="1"/>
  <c r="K369" i="55" s="1"/>
  <c r="H458" i="55"/>
  <c r="G347" i="56"/>
  <c r="AF90" i="38"/>
  <c r="AI120" i="38" s="1"/>
  <c r="P438" i="38"/>
  <c r="H353" i="39"/>
  <c r="P491" i="51"/>
  <c r="AF90" i="54"/>
  <c r="I514" i="42"/>
  <c r="J514" i="42" s="1"/>
  <c r="H369" i="51"/>
  <c r="M28" i="40"/>
  <c r="C39" i="44"/>
  <c r="H530" i="55"/>
  <c r="J545" i="54"/>
  <c r="M530" i="46"/>
  <c r="P547" i="45"/>
  <c r="O547" i="45"/>
  <c r="M547" i="45"/>
  <c r="O545" i="45"/>
  <c r="P545" i="45"/>
  <c r="J547" i="43"/>
  <c r="K547" i="43"/>
  <c r="M512" i="43"/>
  <c r="P512" i="43"/>
  <c r="H547" i="43"/>
  <c r="I547" i="41"/>
  <c r="O545" i="41"/>
  <c r="M545" i="41"/>
  <c r="N547" i="41" s="1"/>
  <c r="P547" i="41" s="1"/>
  <c r="P546" i="41" s="1"/>
  <c r="H545" i="38"/>
  <c r="J545" i="38"/>
  <c r="K545" i="17"/>
  <c r="J545" i="17"/>
  <c r="J491" i="49"/>
  <c r="H491" i="49"/>
  <c r="M493" i="48"/>
  <c r="O493" i="48"/>
  <c r="J491" i="45"/>
  <c r="O491" i="42"/>
  <c r="M491" i="42"/>
  <c r="M493" i="42" s="1"/>
  <c r="O491" i="38"/>
  <c r="H491" i="37"/>
  <c r="H493" i="37" s="1"/>
  <c r="K491" i="37"/>
  <c r="O476" i="53"/>
  <c r="M476" i="53"/>
  <c r="O476" i="39"/>
  <c r="P476" i="39"/>
  <c r="J476" i="38"/>
  <c r="I478" i="37"/>
  <c r="J478" i="37" s="1"/>
  <c r="O491" i="17"/>
  <c r="O458" i="50"/>
  <c r="P458" i="50"/>
  <c r="J458" i="46"/>
  <c r="H458" i="46"/>
  <c r="P458" i="41"/>
  <c r="H458" i="40"/>
  <c r="J458" i="40"/>
  <c r="P458" i="38"/>
  <c r="H405" i="39"/>
  <c r="I407" i="39" s="1"/>
  <c r="J407" i="39" s="1"/>
  <c r="N407" i="55"/>
  <c r="O407" i="55" s="1"/>
  <c r="I407" i="48"/>
  <c r="J407" i="48" s="1"/>
  <c r="J405" i="48"/>
  <c r="H405" i="40"/>
  <c r="J405" i="40"/>
  <c r="P405" i="38"/>
  <c r="I279" i="56"/>
  <c r="J58" i="42"/>
  <c r="H353" i="47"/>
  <c r="K351" i="45"/>
  <c r="K351" i="44"/>
  <c r="H351" i="44"/>
  <c r="H353" i="44" s="1"/>
  <c r="M351" i="40"/>
  <c r="M353" i="40" s="1"/>
  <c r="K351" i="39"/>
  <c r="K352" i="39" s="1"/>
  <c r="P458" i="37"/>
  <c r="O458" i="37"/>
  <c r="M458" i="37"/>
  <c r="N460" i="37" s="1"/>
  <c r="K545" i="37"/>
  <c r="H545" i="37"/>
  <c r="H547" i="37" s="1"/>
  <c r="K512" i="37"/>
  <c r="O405" i="37"/>
  <c r="P491" i="37"/>
  <c r="O545" i="37"/>
  <c r="J512" i="37"/>
  <c r="BF11" i="54"/>
  <c r="BF21" i="54" s="1"/>
  <c r="AY11" i="53"/>
  <c r="AY21" i="53" s="1"/>
  <c r="I296" i="56"/>
  <c r="AY11" i="52"/>
  <c r="AY21" i="52" s="1"/>
  <c r="BF11" i="51"/>
  <c r="BF21" i="51" s="1"/>
  <c r="AY11" i="50"/>
  <c r="AY21" i="50" s="1"/>
  <c r="AY11" i="49"/>
  <c r="AY21" i="49" s="1"/>
  <c r="AY11" i="46"/>
  <c r="AY21" i="46" s="1"/>
  <c r="BF11" i="46"/>
  <c r="BF21" i="46" s="1"/>
  <c r="BF11" i="44"/>
  <c r="BF21" i="44" s="1"/>
  <c r="I143" i="56"/>
  <c r="AY11" i="42"/>
  <c r="AY21" i="42" s="1"/>
  <c r="BF11" i="42"/>
  <c r="BF21" i="42" s="1"/>
  <c r="BF11" i="41"/>
  <c r="BF21" i="41" s="1"/>
  <c r="I109" i="56"/>
  <c r="AY11" i="41"/>
  <c r="AY21" i="41" s="1"/>
  <c r="BF11" i="40"/>
  <c r="BF21" i="40" s="1"/>
  <c r="I92" i="56"/>
  <c r="AY11" i="40"/>
  <c r="AY21" i="40" s="1"/>
  <c r="BF11" i="39"/>
  <c r="BF21" i="39" s="1"/>
  <c r="BF11" i="38"/>
  <c r="BF21" i="38" s="1"/>
  <c r="I58" i="56"/>
  <c r="BF11" i="37"/>
  <c r="BF21" i="37" s="1"/>
  <c r="I514" i="53"/>
  <c r="H514" i="53"/>
  <c r="P458" i="17"/>
  <c r="M423" i="38"/>
  <c r="M425" i="38" s="1"/>
  <c r="O423" i="38"/>
  <c r="H460" i="38"/>
  <c r="I460" i="38"/>
  <c r="K460" i="38" s="1"/>
  <c r="H405" i="38"/>
  <c r="K405" i="38"/>
  <c r="J405" i="38"/>
  <c r="M423" i="17"/>
  <c r="P423" i="17"/>
  <c r="P384" i="37"/>
  <c r="O384" i="37"/>
  <c r="AY21" i="37"/>
  <c r="P476" i="37"/>
  <c r="M476" i="37"/>
  <c r="N478" i="37" s="1"/>
  <c r="P478" i="37" s="1"/>
  <c r="O476" i="37"/>
  <c r="K351" i="38"/>
  <c r="J351" i="38"/>
  <c r="K458" i="38"/>
  <c r="J458" i="38"/>
  <c r="N547" i="43"/>
  <c r="M547" i="43"/>
  <c r="I478" i="43"/>
  <c r="O545" i="43"/>
  <c r="P545" i="43"/>
  <c r="M351" i="52"/>
  <c r="M353" i="52" s="1"/>
  <c r="O351" i="52"/>
  <c r="P351" i="52"/>
  <c r="K545" i="53"/>
  <c r="J545" i="53"/>
  <c r="H545" i="53"/>
  <c r="M458" i="54"/>
  <c r="M460" i="54" s="1"/>
  <c r="P458" i="54"/>
  <c r="J458" i="17"/>
  <c r="P545" i="37"/>
  <c r="J423" i="17"/>
  <c r="H423" i="17"/>
  <c r="I425" i="17" s="1"/>
  <c r="J425" i="17" s="1"/>
  <c r="I440" i="37"/>
  <c r="J440" i="37" s="1"/>
  <c r="M405" i="17"/>
  <c r="P405" i="17"/>
  <c r="O369" i="38"/>
  <c r="M369" i="38"/>
  <c r="J530" i="38"/>
  <c r="M407" i="52"/>
  <c r="N407" i="52"/>
  <c r="N460" i="49"/>
  <c r="O460" i="49" s="1"/>
  <c r="M460" i="49"/>
  <c r="J369" i="44"/>
  <c r="H369" i="44"/>
  <c r="H491" i="44"/>
  <c r="J491" i="44"/>
  <c r="K491" i="44"/>
  <c r="I177" i="56"/>
  <c r="AY21" i="45"/>
  <c r="P384" i="49"/>
  <c r="M384" i="49"/>
  <c r="M386" i="49" s="1"/>
  <c r="O384" i="49"/>
  <c r="J530" i="17"/>
  <c r="H530" i="17"/>
  <c r="H532" i="17" s="1"/>
  <c r="J512" i="38"/>
  <c r="M407" i="41"/>
  <c r="N407" i="41"/>
  <c r="P407" i="41" s="1"/>
  <c r="M369" i="45"/>
  <c r="N371" i="45" s="1"/>
  <c r="O369" i="45"/>
  <c r="P369" i="45"/>
  <c r="M369" i="39"/>
  <c r="P369" i="39"/>
  <c r="J491" i="39"/>
  <c r="H491" i="39"/>
  <c r="K491" i="39"/>
  <c r="O530" i="40"/>
  <c r="M530" i="40"/>
  <c r="M532" i="40" s="1"/>
  <c r="P530" i="40"/>
  <c r="K512" i="38"/>
  <c r="M351" i="37"/>
  <c r="N353" i="37" s="1"/>
  <c r="O353" i="37" s="1"/>
  <c r="O352" i="37" s="1"/>
  <c r="S359" i="37" s="1"/>
  <c r="P351" i="37"/>
  <c r="J353" i="47"/>
  <c r="K353" i="47"/>
  <c r="O405" i="51"/>
  <c r="M405" i="51"/>
  <c r="P405" i="51"/>
  <c r="N547" i="51"/>
  <c r="M547" i="51"/>
  <c r="M512" i="51"/>
  <c r="K514" i="55"/>
  <c r="J405" i="39"/>
  <c r="I371" i="43"/>
  <c r="O476" i="52"/>
  <c r="J369" i="43"/>
  <c r="P512" i="51"/>
  <c r="H438" i="39"/>
  <c r="J438" i="39"/>
  <c r="G194" i="56"/>
  <c r="C54" i="46"/>
  <c r="BF21" i="47"/>
  <c r="J211" i="56"/>
  <c r="J423" i="50"/>
  <c r="H423" i="50"/>
  <c r="M369" i="43"/>
  <c r="M371" i="43" s="1"/>
  <c r="O369" i="43"/>
  <c r="M384" i="45"/>
  <c r="O384" i="45"/>
  <c r="O351" i="38"/>
  <c r="H547" i="46"/>
  <c r="I478" i="40"/>
  <c r="J478" i="40" s="1"/>
  <c r="O545" i="50"/>
  <c r="BF21" i="45"/>
  <c r="J177" i="56"/>
  <c r="P405" i="46"/>
  <c r="M405" i="46"/>
  <c r="H438" i="47"/>
  <c r="K438" i="47"/>
  <c r="J351" i="49"/>
  <c r="H351" i="49"/>
  <c r="K351" i="49"/>
  <c r="P476" i="49"/>
  <c r="M476" i="49"/>
  <c r="O476" i="49"/>
  <c r="K476" i="40"/>
  <c r="P405" i="40"/>
  <c r="M405" i="40"/>
  <c r="J423" i="42"/>
  <c r="H423" i="42"/>
  <c r="M476" i="43"/>
  <c r="N478" i="43" s="1"/>
  <c r="P476" i="43"/>
  <c r="O476" i="43"/>
  <c r="P438" i="45"/>
  <c r="M438" i="45"/>
  <c r="J58" i="46"/>
  <c r="H438" i="50"/>
  <c r="J438" i="50"/>
  <c r="M423" i="39"/>
  <c r="O423" i="39"/>
  <c r="P476" i="40"/>
  <c r="O476" i="40"/>
  <c r="M476" i="40"/>
  <c r="K405" i="41"/>
  <c r="J405" i="41"/>
  <c r="J406" i="41" s="1"/>
  <c r="R413" i="41" s="1"/>
  <c r="I24" i="43"/>
  <c r="J24" i="43" s="1"/>
  <c r="K24" i="43" s="1"/>
  <c r="L24" i="43" s="1"/>
  <c r="M24" i="43" s="1"/>
  <c r="N31" i="43" s="1"/>
  <c r="D143" i="56"/>
  <c r="E143" i="56" s="1"/>
  <c r="F143" i="56" s="1"/>
  <c r="M491" i="52"/>
  <c r="P491" i="52"/>
  <c r="O491" i="52"/>
  <c r="K405" i="53"/>
  <c r="H405" i="53"/>
  <c r="I407" i="53" s="1"/>
  <c r="J405" i="53"/>
  <c r="H476" i="53"/>
  <c r="I478" i="53" s="1"/>
  <c r="J476" i="53"/>
  <c r="C39" i="40"/>
  <c r="P458" i="46"/>
  <c r="M458" i="46"/>
  <c r="J351" i="47"/>
  <c r="K351" i="47"/>
  <c r="O530" i="49"/>
  <c r="P530" i="49"/>
  <c r="M530" i="49"/>
  <c r="M351" i="50"/>
  <c r="P351" i="50"/>
  <c r="M27" i="40"/>
  <c r="H491" i="41"/>
  <c r="H493" i="41" s="1"/>
  <c r="K491" i="41"/>
  <c r="J491" i="41"/>
  <c r="AF90" i="42"/>
  <c r="C39" i="42"/>
  <c r="M405" i="43"/>
  <c r="P405" i="43"/>
  <c r="H423" i="46"/>
  <c r="H425" i="46" s="1"/>
  <c r="K423" i="46" s="1"/>
  <c r="J423" i="46"/>
  <c r="J491" i="50"/>
  <c r="K491" i="50"/>
  <c r="P13" i="17"/>
  <c r="O369" i="17"/>
  <c r="M458" i="41"/>
  <c r="N460" i="41" s="1"/>
  <c r="H512" i="43"/>
  <c r="P458" i="45"/>
  <c r="J458" i="51"/>
  <c r="O530" i="52"/>
  <c r="K351" i="40"/>
  <c r="P369" i="52"/>
  <c r="O369" i="52"/>
  <c r="C54" i="50"/>
  <c r="M545" i="40"/>
  <c r="O545" i="40"/>
  <c r="O369" i="41"/>
  <c r="M369" i="41"/>
  <c r="M371" i="41" s="1"/>
  <c r="K545" i="43"/>
  <c r="J545" i="43"/>
  <c r="H369" i="46"/>
  <c r="J369" i="46"/>
  <c r="P351" i="48"/>
  <c r="O351" i="48"/>
  <c r="BF21" i="53"/>
  <c r="J313" i="56"/>
  <c r="P491" i="53"/>
  <c r="O491" i="53"/>
  <c r="P491" i="55"/>
  <c r="M491" i="55"/>
  <c r="P458" i="51"/>
  <c r="M458" i="51"/>
  <c r="O438" i="52"/>
  <c r="M438" i="52"/>
  <c r="M440" i="52" s="1"/>
  <c r="K351" i="53"/>
  <c r="H351" i="53"/>
  <c r="J351" i="53"/>
  <c r="K491" i="53"/>
  <c r="H491" i="53"/>
  <c r="K405" i="54"/>
  <c r="H405" i="54"/>
  <c r="J405" i="54"/>
  <c r="P476" i="54"/>
  <c r="O476" i="54"/>
  <c r="M476" i="54"/>
  <c r="M458" i="45"/>
  <c r="P423" i="52"/>
  <c r="M530" i="52"/>
  <c r="H514" i="55"/>
  <c r="J384" i="54"/>
  <c r="O458" i="40"/>
  <c r="P458" i="40"/>
  <c r="P405" i="44"/>
  <c r="M405" i="44"/>
  <c r="M512" i="45"/>
  <c r="O512" i="45"/>
  <c r="P512" i="45"/>
  <c r="P512" i="47"/>
  <c r="M512" i="47"/>
  <c r="H384" i="50"/>
  <c r="K384" i="50"/>
  <c r="H476" i="51"/>
  <c r="I478" i="51" s="1"/>
  <c r="J476" i="51"/>
  <c r="J438" i="52"/>
  <c r="H438" i="52"/>
  <c r="O512" i="53"/>
  <c r="P512" i="53"/>
  <c r="M351" i="54"/>
  <c r="O351" i="54"/>
  <c r="P351" i="54"/>
  <c r="P351" i="55"/>
  <c r="M351" i="55"/>
  <c r="O351" i="55"/>
  <c r="K438" i="55"/>
  <c r="H438" i="55"/>
  <c r="M530" i="39"/>
  <c r="M532" i="39" s="1"/>
  <c r="P530" i="39"/>
  <c r="P351" i="43"/>
  <c r="O351" i="43"/>
  <c r="K458" i="48"/>
  <c r="H458" i="48"/>
  <c r="H530" i="48"/>
  <c r="J530" i="48"/>
  <c r="H369" i="50"/>
  <c r="J369" i="50"/>
  <c r="P530" i="41"/>
  <c r="O530" i="41"/>
  <c r="J369" i="42"/>
  <c r="H369" i="42"/>
  <c r="K384" i="46"/>
  <c r="J384" i="46"/>
  <c r="K384" i="47"/>
  <c r="H384" i="47"/>
  <c r="M405" i="48"/>
  <c r="P405" i="48"/>
  <c r="H458" i="52"/>
  <c r="H460" i="52" s="1"/>
  <c r="K458" i="52"/>
  <c r="P405" i="53"/>
  <c r="M405" i="53"/>
  <c r="J512" i="54"/>
  <c r="H512" i="54"/>
  <c r="I514" i="54" s="1"/>
  <c r="K512" i="54"/>
  <c r="P512" i="55"/>
  <c r="O512" i="55"/>
  <c r="M476" i="51"/>
  <c r="N478" i="51" s="1"/>
  <c r="P476" i="51"/>
  <c r="I371" i="53"/>
  <c r="K438" i="53"/>
  <c r="H438" i="53"/>
  <c r="J438" i="53"/>
  <c r="J512" i="53"/>
  <c r="K512" i="53"/>
  <c r="K351" i="54"/>
  <c r="H351" i="54"/>
  <c r="J351" i="54"/>
  <c r="P491" i="54"/>
  <c r="M491" i="54"/>
  <c r="O491" i="54"/>
  <c r="M438" i="55"/>
  <c r="M440" i="55" s="1"/>
  <c r="P438" i="55"/>
  <c r="M25" i="41"/>
  <c r="M27" i="41"/>
  <c r="M25" i="39"/>
  <c r="M27" i="39"/>
  <c r="M28" i="44"/>
  <c r="M26" i="44"/>
  <c r="M28" i="45"/>
  <c r="M26" i="45"/>
  <c r="M28" i="50"/>
  <c r="M26" i="50"/>
  <c r="M25" i="53"/>
  <c r="M28" i="51"/>
  <c r="M26" i="51"/>
  <c r="C39" i="39"/>
  <c r="C39" i="47"/>
  <c r="M27" i="43"/>
  <c r="M28" i="48"/>
  <c r="M26" i="48"/>
  <c r="M25" i="42"/>
  <c r="AF90" i="44"/>
  <c r="AH120" i="44" s="1"/>
  <c r="AH119" i="44" s="1"/>
  <c r="AH118" i="44" s="1"/>
  <c r="AH117" i="44" s="1"/>
  <c r="AH116" i="44" s="1"/>
  <c r="AH115" i="44" s="1"/>
  <c r="AH114" i="44" s="1"/>
  <c r="AH113" i="44" s="1"/>
  <c r="AH112" i="44" s="1"/>
  <c r="AH111" i="44" s="1"/>
  <c r="AH110" i="44" s="1"/>
  <c r="AH109" i="44" s="1"/>
  <c r="AH108" i="44" s="1"/>
  <c r="AH107" i="44" s="1"/>
  <c r="AH106" i="44" s="1"/>
  <c r="AH105" i="44" s="1"/>
  <c r="M28" i="17"/>
  <c r="M26" i="17"/>
  <c r="AF90" i="48"/>
  <c r="AH120" i="48" s="1"/>
  <c r="AH119" i="48" s="1"/>
  <c r="AH118" i="48" s="1"/>
  <c r="AH117" i="48" s="1"/>
  <c r="AH116" i="48" s="1"/>
  <c r="AH115" i="48" s="1"/>
  <c r="AH114" i="48" s="1"/>
  <c r="AH113" i="48" s="1"/>
  <c r="AH112" i="48" s="1"/>
  <c r="AH111" i="48" s="1"/>
  <c r="AH110" i="48" s="1"/>
  <c r="AH109" i="48" s="1"/>
  <c r="AH108" i="48" s="1"/>
  <c r="AH107" i="48" s="1"/>
  <c r="AH106" i="48" s="1"/>
  <c r="AH105" i="48" s="1"/>
  <c r="AH104" i="48" s="1"/>
  <c r="AH103" i="48" s="1"/>
  <c r="AH102" i="48" s="1"/>
  <c r="AH101" i="48" s="1"/>
  <c r="J322" i="56"/>
  <c r="E293" i="56"/>
  <c r="F208" i="56"/>
  <c r="E208" i="56"/>
  <c r="F225" i="56"/>
  <c r="M407" i="38"/>
  <c r="N407" i="38"/>
  <c r="P369" i="48"/>
  <c r="M369" i="48"/>
  <c r="O369" i="48"/>
  <c r="M491" i="39"/>
  <c r="P491" i="39"/>
  <c r="I547" i="17"/>
  <c r="J547" i="17" s="1"/>
  <c r="H547" i="17"/>
  <c r="M491" i="17"/>
  <c r="N460" i="40"/>
  <c r="M438" i="42"/>
  <c r="H407" i="43"/>
  <c r="I407" i="43"/>
  <c r="H407" i="44"/>
  <c r="I407" i="44"/>
  <c r="H440" i="40"/>
  <c r="I440" i="40"/>
  <c r="I24" i="49"/>
  <c r="J24" i="49" s="1"/>
  <c r="K24" i="49" s="1"/>
  <c r="L24" i="49" s="1"/>
  <c r="M24" i="49" s="1"/>
  <c r="N31" i="49" s="1"/>
  <c r="D245" i="56"/>
  <c r="E245" i="56" s="1"/>
  <c r="F245" i="56" s="1"/>
  <c r="H384" i="17"/>
  <c r="I386" i="17" s="1"/>
  <c r="K384" i="17"/>
  <c r="J384" i="17"/>
  <c r="P545" i="17"/>
  <c r="M545" i="17"/>
  <c r="O405" i="38"/>
  <c r="O371" i="52"/>
  <c r="O491" i="39"/>
  <c r="I386" i="40"/>
  <c r="H386" i="40"/>
  <c r="O458" i="52"/>
  <c r="M458" i="52"/>
  <c r="P458" i="52"/>
  <c r="H530" i="54"/>
  <c r="J530" i="54"/>
  <c r="N478" i="55"/>
  <c r="M478" i="55"/>
  <c r="I386" i="53"/>
  <c r="H386" i="53"/>
  <c r="J423" i="43"/>
  <c r="H423" i="43"/>
  <c r="P458" i="44"/>
  <c r="O458" i="44"/>
  <c r="M458" i="44"/>
  <c r="P351" i="46"/>
  <c r="O351" i="46"/>
  <c r="M351" i="46"/>
  <c r="N423" i="46"/>
  <c r="P491" i="46"/>
  <c r="O491" i="46"/>
  <c r="M491" i="46"/>
  <c r="M493" i="46" s="1"/>
  <c r="H545" i="47"/>
  <c r="J545" i="47"/>
  <c r="K545" i="47"/>
  <c r="O512" i="48"/>
  <c r="M512" i="48"/>
  <c r="K532" i="37"/>
  <c r="H491" i="43"/>
  <c r="I493" i="43" s="1"/>
  <c r="K491" i="43"/>
  <c r="J491" i="43"/>
  <c r="H405" i="17"/>
  <c r="H407" i="17" s="1"/>
  <c r="K405" i="17"/>
  <c r="H532" i="37"/>
  <c r="K530" i="37" s="1"/>
  <c r="P423" i="38"/>
  <c r="J384" i="38"/>
  <c r="N407" i="54"/>
  <c r="J545" i="49"/>
  <c r="H545" i="49"/>
  <c r="C54" i="17"/>
  <c r="J369" i="45"/>
  <c r="H369" i="45"/>
  <c r="K405" i="47"/>
  <c r="H405" i="47"/>
  <c r="J405" i="47"/>
  <c r="M386" i="37"/>
  <c r="N386" i="37"/>
  <c r="K384" i="38"/>
  <c r="H369" i="37"/>
  <c r="I371" i="37" s="1"/>
  <c r="K371" i="37" s="1"/>
  <c r="J369" i="37"/>
  <c r="M530" i="37"/>
  <c r="P530" i="37"/>
  <c r="G58" i="56"/>
  <c r="C54" i="38"/>
  <c r="P512" i="42"/>
  <c r="O512" i="42"/>
  <c r="M512" i="42"/>
  <c r="K351" i="43"/>
  <c r="J351" i="43"/>
  <c r="H351" i="43"/>
  <c r="M384" i="44"/>
  <c r="O384" i="44"/>
  <c r="H438" i="45"/>
  <c r="K438" i="45"/>
  <c r="J476" i="47"/>
  <c r="H476" i="47"/>
  <c r="J353" i="39"/>
  <c r="K405" i="43"/>
  <c r="J405" i="43"/>
  <c r="BF21" i="48"/>
  <c r="J228" i="56"/>
  <c r="I353" i="38"/>
  <c r="J353" i="38" s="1"/>
  <c r="H353" i="38"/>
  <c r="H512" i="45"/>
  <c r="J512" i="45"/>
  <c r="K512" i="45"/>
  <c r="O405" i="17"/>
  <c r="M384" i="17"/>
  <c r="M386" i="17" s="1"/>
  <c r="P384" i="17"/>
  <c r="P384" i="44"/>
  <c r="P512" i="48"/>
  <c r="J351" i="41"/>
  <c r="H351" i="41"/>
  <c r="O423" i="41"/>
  <c r="M423" i="41"/>
  <c r="N425" i="41" s="1"/>
  <c r="P423" i="41"/>
  <c r="P512" i="44"/>
  <c r="O512" i="44"/>
  <c r="M512" i="44"/>
  <c r="J58" i="48"/>
  <c r="P512" i="41"/>
  <c r="O512" i="41"/>
  <c r="M512" i="41"/>
  <c r="H530" i="45"/>
  <c r="I532" i="45" s="1"/>
  <c r="J530" i="45"/>
  <c r="P545" i="49"/>
  <c r="O545" i="49"/>
  <c r="M545" i="49"/>
  <c r="H405" i="52"/>
  <c r="J405" i="52"/>
  <c r="M512" i="52"/>
  <c r="O512" i="52"/>
  <c r="P512" i="52"/>
  <c r="E310" i="56"/>
  <c r="F310" i="56"/>
  <c r="P369" i="54"/>
  <c r="O369" i="54"/>
  <c r="M369" i="54"/>
  <c r="C39" i="55"/>
  <c r="AF90" i="55"/>
  <c r="AI120" i="55" s="1"/>
  <c r="AI119" i="55" s="1"/>
  <c r="AI118" i="55" s="1"/>
  <c r="AI117" i="55" s="1"/>
  <c r="AI116" i="55" s="1"/>
  <c r="AI115" i="55" s="1"/>
  <c r="AI114" i="55" s="1"/>
  <c r="AI113" i="55" s="1"/>
  <c r="AI112" i="55" s="1"/>
  <c r="AI111" i="55" s="1"/>
  <c r="AI110" i="55" s="1"/>
  <c r="AI109" i="55" s="1"/>
  <c r="AI108" i="55" s="1"/>
  <c r="AI107" i="55" s="1"/>
  <c r="AI106" i="55" s="1"/>
  <c r="AI105" i="55" s="1"/>
  <c r="AI104" i="55" s="1"/>
  <c r="AI103" i="55" s="1"/>
  <c r="AI102" i="55" s="1"/>
  <c r="AI101" i="55" s="1"/>
  <c r="AI100" i="55" s="1"/>
  <c r="I407" i="45"/>
  <c r="H407" i="45"/>
  <c r="J58" i="39"/>
  <c r="J438" i="40"/>
  <c r="K438" i="40"/>
  <c r="H423" i="41"/>
  <c r="J423" i="41"/>
  <c r="K405" i="45"/>
  <c r="J405" i="45"/>
  <c r="J58" i="51"/>
  <c r="H423" i="52"/>
  <c r="H425" i="52" s="1"/>
  <c r="J423" i="52"/>
  <c r="H530" i="52"/>
  <c r="H532" i="52" s="1"/>
  <c r="K530" i="52" s="1"/>
  <c r="J530" i="52"/>
  <c r="K384" i="44"/>
  <c r="H384" i="44"/>
  <c r="J384" i="44"/>
  <c r="K458" i="44"/>
  <c r="J458" i="44"/>
  <c r="H458" i="44"/>
  <c r="J530" i="44"/>
  <c r="H530" i="44"/>
  <c r="M351" i="45"/>
  <c r="N353" i="45" s="1"/>
  <c r="O351" i="45"/>
  <c r="P351" i="45"/>
  <c r="O423" i="45"/>
  <c r="M423" i="45"/>
  <c r="P423" i="45"/>
  <c r="M491" i="45"/>
  <c r="O491" i="45"/>
  <c r="P491" i="45"/>
  <c r="K351" i="46"/>
  <c r="H351" i="46"/>
  <c r="K491" i="46"/>
  <c r="H491" i="46"/>
  <c r="J491" i="46"/>
  <c r="P384" i="47"/>
  <c r="M384" i="47"/>
  <c r="M386" i="47" s="1"/>
  <c r="O458" i="47"/>
  <c r="M458" i="47"/>
  <c r="P458" i="47"/>
  <c r="P530" i="47"/>
  <c r="O530" i="47"/>
  <c r="M530" i="47"/>
  <c r="J438" i="48"/>
  <c r="K438" i="48"/>
  <c r="H438" i="48"/>
  <c r="K512" i="48"/>
  <c r="H512" i="48"/>
  <c r="J512" i="48"/>
  <c r="J369" i="49"/>
  <c r="H369" i="49"/>
  <c r="K438" i="49"/>
  <c r="H438" i="49"/>
  <c r="J438" i="49"/>
  <c r="H512" i="49"/>
  <c r="J512" i="49"/>
  <c r="H530" i="46"/>
  <c r="J530" i="46"/>
  <c r="K405" i="52"/>
  <c r="M405" i="39"/>
  <c r="P405" i="39"/>
  <c r="O405" i="39"/>
  <c r="M512" i="39"/>
  <c r="O512" i="39"/>
  <c r="P369" i="40"/>
  <c r="O369" i="40"/>
  <c r="M423" i="44"/>
  <c r="P423" i="44"/>
  <c r="O423" i="44"/>
  <c r="H530" i="42"/>
  <c r="J530" i="42"/>
  <c r="N371" i="40"/>
  <c r="M438" i="51"/>
  <c r="P438" i="51"/>
  <c r="O438" i="51"/>
  <c r="J58" i="54"/>
  <c r="M423" i="43"/>
  <c r="P423" i="43"/>
  <c r="P491" i="41"/>
  <c r="M491" i="41"/>
  <c r="M353" i="17"/>
  <c r="M491" i="37"/>
  <c r="P369" i="38"/>
  <c r="J476" i="37"/>
  <c r="K384" i="37"/>
  <c r="P12" i="17"/>
  <c r="M440" i="43"/>
  <c r="P14" i="17"/>
  <c r="E14" i="17" s="1"/>
  <c r="H458" i="17"/>
  <c r="H460" i="17" s="1"/>
  <c r="H384" i="37"/>
  <c r="I532" i="38"/>
  <c r="K532" i="38" s="1"/>
  <c r="P512" i="39"/>
  <c r="H478" i="39"/>
  <c r="K476" i="39" s="1"/>
  <c r="I493" i="47"/>
  <c r="H493" i="47"/>
  <c r="K438" i="44"/>
  <c r="J438" i="44"/>
  <c r="K405" i="55"/>
  <c r="H405" i="55"/>
  <c r="J476" i="55"/>
  <c r="H476" i="55"/>
  <c r="K384" i="42"/>
  <c r="J384" i="42"/>
  <c r="K458" i="42"/>
  <c r="J458" i="42"/>
  <c r="M25" i="43"/>
  <c r="J309" i="56"/>
  <c r="J326" i="56"/>
  <c r="K438" i="42"/>
  <c r="J438" i="42"/>
  <c r="H351" i="52"/>
  <c r="H353" i="52" s="1"/>
  <c r="K351" i="52"/>
  <c r="P476" i="55"/>
  <c r="O476" i="55"/>
  <c r="M545" i="55"/>
  <c r="O545" i="55"/>
  <c r="P545" i="55"/>
  <c r="K438" i="41"/>
  <c r="H438" i="41"/>
  <c r="J512" i="41"/>
  <c r="H512" i="41"/>
  <c r="K512" i="41"/>
  <c r="M27" i="42"/>
  <c r="H384" i="42"/>
  <c r="H458" i="42"/>
  <c r="J423" i="45"/>
  <c r="J512" i="46"/>
  <c r="K512" i="46"/>
  <c r="H512" i="46"/>
  <c r="P491" i="47"/>
  <c r="M491" i="47"/>
  <c r="J545" i="48"/>
  <c r="K545" i="48"/>
  <c r="H476" i="49"/>
  <c r="J476" i="49"/>
  <c r="M512" i="50"/>
  <c r="P512" i="50"/>
  <c r="K458" i="53"/>
  <c r="H458" i="53"/>
  <c r="M530" i="54"/>
  <c r="O530" i="54"/>
  <c r="AF90" i="39"/>
  <c r="AH120" i="39" s="1"/>
  <c r="AH119" i="39" s="1"/>
  <c r="AH118" i="39" s="1"/>
  <c r="AH117" i="39" s="1"/>
  <c r="AH116" i="39" s="1"/>
  <c r="AH115" i="39" s="1"/>
  <c r="AH114" i="39" s="1"/>
  <c r="AH113" i="39" s="1"/>
  <c r="AH112" i="39" s="1"/>
  <c r="AH111" i="39" s="1"/>
  <c r="AH110" i="39" s="1"/>
  <c r="AH109" i="39" s="1"/>
  <c r="AH108" i="39" s="1"/>
  <c r="M26" i="40"/>
  <c r="K384" i="40"/>
  <c r="J384" i="40"/>
  <c r="J530" i="40"/>
  <c r="H530" i="40"/>
  <c r="M512" i="53"/>
  <c r="I245" i="56"/>
  <c r="K438" i="46"/>
  <c r="H438" i="46"/>
  <c r="H491" i="51"/>
  <c r="J491" i="51"/>
  <c r="K384" i="53"/>
  <c r="J384" i="53"/>
  <c r="P438" i="54"/>
  <c r="O438" i="54"/>
  <c r="M438" i="54"/>
  <c r="P545" i="54"/>
  <c r="M545" i="54"/>
  <c r="H438" i="44"/>
  <c r="J58" i="40"/>
  <c r="P405" i="49"/>
  <c r="M405" i="49"/>
  <c r="M405" i="50"/>
  <c r="O405" i="50"/>
  <c r="J476" i="50"/>
  <c r="H476" i="50"/>
  <c r="H478" i="50" s="1"/>
  <c r="K476" i="50" s="1"/>
  <c r="H545" i="50"/>
  <c r="J545" i="50"/>
  <c r="M545" i="52"/>
  <c r="P545" i="52"/>
  <c r="O545" i="52"/>
  <c r="J369" i="54"/>
  <c r="H369" i="54"/>
  <c r="H371" i="54" s="1"/>
  <c r="K369" i="54" s="1"/>
  <c r="M351" i="41"/>
  <c r="J545" i="55"/>
  <c r="K512" i="44"/>
  <c r="J512" i="44"/>
  <c r="H512" i="44"/>
  <c r="K405" i="49"/>
  <c r="H405" i="49"/>
  <c r="J405" i="49"/>
  <c r="M369" i="51"/>
  <c r="N371" i="51" s="1"/>
  <c r="P369" i="51"/>
  <c r="O369" i="51"/>
  <c r="P351" i="49"/>
  <c r="M351" i="49"/>
  <c r="P423" i="49"/>
  <c r="M423" i="49"/>
  <c r="H438" i="51"/>
  <c r="J438" i="51"/>
  <c r="AF90" i="47"/>
  <c r="P14" i="54"/>
  <c r="E14" i="54" s="1"/>
  <c r="F327" i="56"/>
  <c r="O545" i="46"/>
  <c r="O512" i="49"/>
  <c r="H423" i="54"/>
  <c r="I425" i="54" s="1"/>
  <c r="M28" i="49"/>
  <c r="M26" i="49"/>
  <c r="P12" i="53"/>
  <c r="M26" i="52"/>
  <c r="E29" i="62"/>
  <c r="AF90" i="43"/>
  <c r="AG120" i="43" s="1"/>
  <c r="AG119" i="43" s="1"/>
  <c r="AG118" i="43" s="1"/>
  <c r="AG117" i="43" s="1"/>
  <c r="AG116" i="43" s="1"/>
  <c r="AG115" i="43" s="1"/>
  <c r="AG114" i="43" s="1"/>
  <c r="AG113" i="43" s="1"/>
  <c r="AG112" i="43" s="1"/>
  <c r="AG111" i="43" s="1"/>
  <c r="AG110" i="43" s="1"/>
  <c r="AG109" i="43" s="1"/>
  <c r="AG108" i="43" s="1"/>
  <c r="AG107" i="43" s="1"/>
  <c r="AG106" i="43" s="1"/>
  <c r="AG105" i="43" s="1"/>
  <c r="M26" i="46"/>
  <c r="M26" i="54"/>
  <c r="M27" i="53"/>
  <c r="D30" i="62"/>
  <c r="E327" i="56"/>
  <c r="P8" i="53"/>
  <c r="C11" i="53" s="1"/>
  <c r="J321" i="56"/>
  <c r="J320" i="56"/>
  <c r="P7" i="50"/>
  <c r="C10" i="50" s="1"/>
  <c r="E242" i="56"/>
  <c r="F344" i="56"/>
  <c r="P9" i="51"/>
  <c r="C12" i="51" s="1"/>
  <c r="P13" i="50"/>
  <c r="C14" i="50" s="1"/>
  <c r="P12" i="49"/>
  <c r="P7" i="49"/>
  <c r="C10" i="49" s="1"/>
  <c r="E225" i="56"/>
  <c r="P14" i="45"/>
  <c r="E14" i="45" s="1"/>
  <c r="P12" i="44"/>
  <c r="F157" i="56"/>
  <c r="P14" i="53"/>
  <c r="E14" i="53" s="1"/>
  <c r="P7" i="52"/>
  <c r="C10" i="52" s="1"/>
  <c r="C38" i="52" s="1"/>
  <c r="F191" i="56"/>
  <c r="P14" i="46"/>
  <c r="E14" i="46" s="1"/>
  <c r="P8" i="38"/>
  <c r="C11" i="38" s="1"/>
  <c r="I532" i="47"/>
  <c r="H532" i="47"/>
  <c r="K530" i="47" s="1"/>
  <c r="I386" i="38"/>
  <c r="K386" i="38" s="1"/>
  <c r="H386" i="38"/>
  <c r="P440" i="38"/>
  <c r="O440" i="38"/>
  <c r="H514" i="38"/>
  <c r="I514" i="38"/>
  <c r="M532" i="38"/>
  <c r="N532" i="38"/>
  <c r="M353" i="38"/>
  <c r="N353" i="38"/>
  <c r="P353" i="38" s="1"/>
  <c r="M460" i="38"/>
  <c r="N460" i="38"/>
  <c r="M512" i="17"/>
  <c r="O530" i="38"/>
  <c r="J405" i="37"/>
  <c r="M405" i="37"/>
  <c r="P491" i="38"/>
  <c r="P512" i="38"/>
  <c r="M478" i="41"/>
  <c r="N478" i="41"/>
  <c r="J512" i="17"/>
  <c r="P512" i="17"/>
  <c r="H476" i="17"/>
  <c r="I478" i="17" s="1"/>
  <c r="N547" i="37"/>
  <c r="P547" i="37" s="1"/>
  <c r="P530" i="38"/>
  <c r="H405" i="37"/>
  <c r="O423" i="37"/>
  <c r="O458" i="38"/>
  <c r="H438" i="17"/>
  <c r="I440" i="17" s="1"/>
  <c r="K440" i="17" s="1"/>
  <c r="K439" i="17" s="1"/>
  <c r="H512" i="17"/>
  <c r="J438" i="17"/>
  <c r="M369" i="17"/>
  <c r="M371" i="17" s="1"/>
  <c r="M423" i="37"/>
  <c r="P351" i="38"/>
  <c r="M458" i="17"/>
  <c r="N460" i="17" s="1"/>
  <c r="P460" i="17" s="1"/>
  <c r="H438" i="38"/>
  <c r="I440" i="38" s="1"/>
  <c r="J58" i="56"/>
  <c r="O384" i="39"/>
  <c r="P384" i="39"/>
  <c r="M440" i="38"/>
  <c r="M384" i="39"/>
  <c r="M438" i="48"/>
  <c r="P438" i="48"/>
  <c r="O438" i="48"/>
  <c r="H371" i="48"/>
  <c r="K369" i="48" s="1"/>
  <c r="K458" i="50"/>
  <c r="J478" i="38"/>
  <c r="J369" i="40"/>
  <c r="H369" i="40"/>
  <c r="O423" i="40"/>
  <c r="M423" i="40"/>
  <c r="P423" i="40"/>
  <c r="K491" i="40"/>
  <c r="H491" i="40"/>
  <c r="J491" i="40"/>
  <c r="I160" i="56"/>
  <c r="AY21" i="44"/>
  <c r="P476" i="46"/>
  <c r="M476" i="46"/>
  <c r="O476" i="46"/>
  <c r="P7" i="47"/>
  <c r="C10" i="47" s="1"/>
  <c r="C38" i="47" s="1"/>
  <c r="J369" i="47"/>
  <c r="H369" i="47"/>
  <c r="J530" i="47"/>
  <c r="N31" i="48"/>
  <c r="K545" i="40"/>
  <c r="H545" i="40"/>
  <c r="J545" i="40"/>
  <c r="C54" i="41"/>
  <c r="G109" i="56"/>
  <c r="J384" i="48"/>
  <c r="H384" i="48"/>
  <c r="K384" i="48"/>
  <c r="P423" i="54"/>
  <c r="M423" i="54"/>
  <c r="P512" i="54"/>
  <c r="O512" i="54"/>
  <c r="M512" i="54"/>
  <c r="O458" i="48"/>
  <c r="P458" i="48"/>
  <c r="M530" i="48"/>
  <c r="O530" i="48"/>
  <c r="H384" i="49"/>
  <c r="K384" i="49"/>
  <c r="J384" i="49"/>
  <c r="H458" i="49"/>
  <c r="K458" i="49"/>
  <c r="J458" i="49"/>
  <c r="J530" i="49"/>
  <c r="H530" i="49"/>
  <c r="I532" i="49" s="1"/>
  <c r="P493" i="53"/>
  <c r="O493" i="53"/>
  <c r="P351" i="44"/>
  <c r="O351" i="44"/>
  <c r="M351" i="44"/>
  <c r="M353" i="44" s="1"/>
  <c r="J423" i="44"/>
  <c r="H423" i="44"/>
  <c r="H353" i="45"/>
  <c r="I353" i="45"/>
  <c r="J545" i="52"/>
  <c r="H545" i="52"/>
  <c r="O438" i="53"/>
  <c r="M438" i="53"/>
  <c r="I460" i="41"/>
  <c r="P384" i="48"/>
  <c r="H547" i="48"/>
  <c r="I547" i="48"/>
  <c r="K458" i="41"/>
  <c r="J458" i="41"/>
  <c r="J530" i="41"/>
  <c r="H530" i="41"/>
  <c r="H384" i="43"/>
  <c r="K384" i="43"/>
  <c r="K351" i="50"/>
  <c r="J351" i="50"/>
  <c r="H351" i="50"/>
  <c r="I353" i="50" s="1"/>
  <c r="J530" i="50"/>
  <c r="H530" i="50"/>
  <c r="M423" i="51"/>
  <c r="P423" i="51"/>
  <c r="O423" i="51"/>
  <c r="M530" i="51"/>
  <c r="P530" i="51"/>
  <c r="O530" i="51"/>
  <c r="C54" i="52"/>
  <c r="G296" i="56"/>
  <c r="M384" i="52"/>
  <c r="P384" i="52"/>
  <c r="O384" i="52"/>
  <c r="O384" i="48"/>
  <c r="J384" i="43"/>
  <c r="O423" i="54"/>
  <c r="M491" i="49"/>
  <c r="P491" i="49"/>
  <c r="O491" i="49"/>
  <c r="M458" i="39"/>
  <c r="P458" i="39"/>
  <c r="O458" i="39"/>
  <c r="H545" i="39"/>
  <c r="J545" i="39"/>
  <c r="K545" i="39"/>
  <c r="K545" i="42"/>
  <c r="H545" i="42"/>
  <c r="C54" i="43"/>
  <c r="G143" i="56"/>
  <c r="H384" i="45"/>
  <c r="K384" i="45"/>
  <c r="J384" i="45"/>
  <c r="P476" i="42"/>
  <c r="O476" i="42"/>
  <c r="M476" i="42"/>
  <c r="N478" i="42" s="1"/>
  <c r="O530" i="44"/>
  <c r="P530" i="44"/>
  <c r="M530" i="44"/>
  <c r="P7" i="45"/>
  <c r="C10" i="45" s="1"/>
  <c r="C38" i="45" s="1"/>
  <c r="P438" i="49"/>
  <c r="O438" i="49"/>
  <c r="M438" i="49"/>
  <c r="K512" i="55"/>
  <c r="J512" i="55"/>
  <c r="J513" i="55" s="1"/>
  <c r="R520" i="55" s="1"/>
  <c r="O545" i="51"/>
  <c r="P545" i="51"/>
  <c r="K405" i="51"/>
  <c r="H405" i="51"/>
  <c r="O405" i="42"/>
  <c r="M405" i="42"/>
  <c r="P405" i="42"/>
  <c r="P476" i="44"/>
  <c r="O476" i="44"/>
  <c r="M476" i="44"/>
  <c r="P476" i="48"/>
  <c r="M476" i="48"/>
  <c r="O476" i="48"/>
  <c r="BF21" i="55"/>
  <c r="J347" i="56"/>
  <c r="M369" i="55"/>
  <c r="P369" i="55"/>
  <c r="I24" i="42"/>
  <c r="J24" i="42" s="1"/>
  <c r="K24" i="42" s="1"/>
  <c r="L24" i="42" s="1"/>
  <c r="M24" i="42" s="1"/>
  <c r="N31" i="42" s="1"/>
  <c r="I24" i="40"/>
  <c r="J24" i="40" s="1"/>
  <c r="K24" i="40" s="1"/>
  <c r="L24" i="40" s="1"/>
  <c r="M24" i="40" s="1"/>
  <c r="I24" i="41"/>
  <c r="J24" i="41" s="1"/>
  <c r="K24" i="41" s="1"/>
  <c r="L24" i="41" s="1"/>
  <c r="M24" i="41" s="1"/>
  <c r="D126" i="56"/>
  <c r="E126" i="56" s="1"/>
  <c r="F126" i="56" s="1"/>
  <c r="P14" i="50"/>
  <c r="E14" i="50" s="1"/>
  <c r="G29" i="62"/>
  <c r="G8" i="58"/>
  <c r="N17" i="63" s="1"/>
  <c r="AF90" i="51"/>
  <c r="C39" i="51"/>
  <c r="I126" i="56"/>
  <c r="P13" i="46"/>
  <c r="C14" i="46" s="1"/>
  <c r="G75" i="56"/>
  <c r="I194" i="56"/>
  <c r="J126" i="56"/>
  <c r="P7" i="54"/>
  <c r="P8" i="49"/>
  <c r="C11" i="49" s="1"/>
  <c r="P9" i="43"/>
  <c r="C12" i="43" s="1"/>
  <c r="P12" i="55"/>
  <c r="P12" i="46"/>
  <c r="P12" i="50"/>
  <c r="P12" i="47"/>
  <c r="P13" i="54"/>
  <c r="C14" i="54" s="1"/>
  <c r="P13" i="45"/>
  <c r="C14" i="45" s="1"/>
  <c r="P13" i="55"/>
  <c r="C14" i="55" s="1"/>
  <c r="P13" i="53"/>
  <c r="C14" i="53" s="1"/>
  <c r="P13" i="47"/>
  <c r="C14" i="47" s="1"/>
  <c r="P14" i="55"/>
  <c r="E14" i="55" s="1"/>
  <c r="P14" i="51"/>
  <c r="E14" i="51" s="1"/>
  <c r="P14" i="47"/>
  <c r="E14" i="47" s="1"/>
  <c r="P14" i="44"/>
  <c r="E14" i="44" s="1"/>
  <c r="P14" i="43"/>
  <c r="E14" i="43" s="1"/>
  <c r="E30" i="63"/>
  <c r="P8" i="52"/>
  <c r="C11" i="52" s="1"/>
  <c r="P8" i="44"/>
  <c r="C11" i="44" s="1"/>
  <c r="P9" i="48"/>
  <c r="C12" i="48" s="1"/>
  <c r="P9" i="54"/>
  <c r="C12" i="54" s="1"/>
  <c r="P9" i="50"/>
  <c r="C12" i="50" s="1"/>
  <c r="P12" i="45"/>
  <c r="P9" i="55"/>
  <c r="C12" i="55" s="1"/>
  <c r="P9" i="47"/>
  <c r="C12" i="47" s="1"/>
  <c r="F276" i="56"/>
  <c r="F140" i="56"/>
  <c r="H9" i="58"/>
  <c r="K30" i="63" s="1"/>
  <c r="F259" i="56"/>
  <c r="P12" i="41"/>
  <c r="P12" i="37"/>
  <c r="P9" i="40"/>
  <c r="C12" i="40" s="1"/>
  <c r="P13" i="42"/>
  <c r="C14" i="42" s="1"/>
  <c r="P14" i="42"/>
  <c r="E14" i="42" s="1"/>
  <c r="P14" i="38"/>
  <c r="E14" i="38" s="1"/>
  <c r="P7" i="42"/>
  <c r="C10" i="42" s="1"/>
  <c r="C38" i="42" s="1"/>
  <c r="P12" i="42"/>
  <c r="P13" i="41"/>
  <c r="C14" i="41" s="1"/>
  <c r="P8" i="41"/>
  <c r="C11" i="41" s="1"/>
  <c r="P14" i="40"/>
  <c r="E14" i="40" s="1"/>
  <c r="F72" i="56"/>
  <c r="P14" i="39"/>
  <c r="E14" i="39" s="1"/>
  <c r="P9" i="39"/>
  <c r="C12" i="39" s="1"/>
  <c r="P13" i="38"/>
  <c r="C14" i="38" s="1"/>
  <c r="P12" i="38"/>
  <c r="F38" i="56"/>
  <c r="P14" i="37"/>
  <c r="E14" i="37" s="1"/>
  <c r="P9" i="37"/>
  <c r="C12" i="37" s="1"/>
  <c r="P7" i="37"/>
  <c r="C10" i="37" s="1"/>
  <c r="C38" i="37" s="1"/>
  <c r="P8" i="37"/>
  <c r="C11" i="37" s="1"/>
  <c r="P8" i="54"/>
  <c r="C11" i="54" s="1"/>
  <c r="F123" i="56"/>
  <c r="P7" i="53"/>
  <c r="C10" i="53" s="1"/>
  <c r="C38" i="53" s="1"/>
  <c r="P7" i="51"/>
  <c r="C10" i="51" s="1"/>
  <c r="C38" i="51" s="1"/>
  <c r="P8" i="47"/>
  <c r="C11" i="47" s="1"/>
  <c r="P8" i="39"/>
  <c r="C11" i="39" s="1"/>
  <c r="P8" i="48"/>
  <c r="C11" i="48" s="1"/>
  <c r="P8" i="40"/>
  <c r="C11" i="40" s="1"/>
  <c r="P9" i="46"/>
  <c r="C12" i="46" s="1"/>
  <c r="P9" i="42"/>
  <c r="C12" i="42" s="1"/>
  <c r="P9" i="38"/>
  <c r="P13" i="48"/>
  <c r="C14" i="48" s="1"/>
  <c r="P13" i="49"/>
  <c r="P13" i="37"/>
  <c r="C14" i="37" s="1"/>
  <c r="P14" i="48"/>
  <c r="E14" i="48" s="1"/>
  <c r="P7" i="41"/>
  <c r="E106" i="56"/>
  <c r="F106" i="56"/>
  <c r="P12" i="40"/>
  <c r="P7" i="48"/>
  <c r="P7" i="55"/>
  <c r="P8" i="51"/>
  <c r="C11" i="51" s="1"/>
  <c r="P8" i="43"/>
  <c r="C11" i="43" s="1"/>
  <c r="P8" i="50"/>
  <c r="C11" i="50" s="1"/>
  <c r="P8" i="46"/>
  <c r="C11" i="46" s="1"/>
  <c r="P8" i="42"/>
  <c r="C11" i="42" s="1"/>
  <c r="P9" i="53"/>
  <c r="C12" i="53" s="1"/>
  <c r="P9" i="52"/>
  <c r="C12" i="52" s="1"/>
  <c r="P9" i="49"/>
  <c r="C12" i="49" s="1"/>
  <c r="P9" i="45"/>
  <c r="C12" i="45" s="1"/>
  <c r="P9" i="44"/>
  <c r="C12" i="44" s="1"/>
  <c r="P9" i="41"/>
  <c r="C12" i="41" s="1"/>
  <c r="P12" i="54"/>
  <c r="P12" i="52"/>
  <c r="P12" i="51"/>
  <c r="P12" i="48"/>
  <c r="P12" i="43"/>
  <c r="P12" i="39"/>
  <c r="P13" i="44"/>
  <c r="P13" i="52"/>
  <c r="P13" i="51"/>
  <c r="C14" i="51" s="1"/>
  <c r="P13" i="43"/>
  <c r="C14" i="43" s="1"/>
  <c r="P13" i="40"/>
  <c r="C14" i="40" s="1"/>
  <c r="P13" i="39"/>
  <c r="P14" i="52"/>
  <c r="E14" i="52" s="1"/>
  <c r="P14" i="49"/>
  <c r="E14" i="49" s="1"/>
  <c r="P14" i="41"/>
  <c r="E14" i="41" s="1"/>
  <c r="P7" i="39"/>
  <c r="P8" i="55"/>
  <c r="C11" i="55" s="1"/>
  <c r="P8" i="45"/>
  <c r="C11" i="45" s="1"/>
  <c r="P7" i="44"/>
  <c r="E174" i="56"/>
  <c r="P7" i="38"/>
  <c r="P7" i="43"/>
  <c r="C10" i="43" s="1"/>
  <c r="C38" i="43" s="1"/>
  <c r="P7" i="46"/>
  <c r="P8" i="17"/>
  <c r="C11" i="17" s="1"/>
  <c r="F21" i="56"/>
  <c r="P9" i="17"/>
  <c r="C12" i="17" s="1"/>
  <c r="P7" i="17"/>
  <c r="P530" i="17"/>
  <c r="M530" i="17"/>
  <c r="H493" i="17"/>
  <c r="O530" i="17"/>
  <c r="J491" i="17"/>
  <c r="O438" i="17"/>
  <c r="M438" i="17"/>
  <c r="K491" i="17"/>
  <c r="K493" i="17"/>
  <c r="J493" i="17"/>
  <c r="BF11" i="17"/>
  <c r="BF21" i="17" s="1"/>
  <c r="P353" i="17"/>
  <c r="O353" i="17"/>
  <c r="P438" i="17"/>
  <c r="O476" i="17"/>
  <c r="M476" i="17"/>
  <c r="I24" i="56"/>
  <c r="AY11" i="17"/>
  <c r="AY21" i="17" s="1"/>
  <c r="K351" i="37"/>
  <c r="J351" i="37"/>
  <c r="H351" i="37"/>
  <c r="H423" i="37"/>
  <c r="J423" i="37"/>
  <c r="J58" i="38"/>
  <c r="F55" i="56"/>
  <c r="H371" i="38"/>
  <c r="K369" i="38" s="1"/>
  <c r="I371" i="38"/>
  <c r="H514" i="37"/>
  <c r="I514" i="37"/>
  <c r="M545" i="38"/>
  <c r="P545" i="38"/>
  <c r="O545" i="38"/>
  <c r="M493" i="38"/>
  <c r="N493" i="38"/>
  <c r="N440" i="37"/>
  <c r="N514" i="38"/>
  <c r="P476" i="38"/>
  <c r="M476" i="38"/>
  <c r="N31" i="37"/>
  <c r="K438" i="37"/>
  <c r="J438" i="37"/>
  <c r="O512" i="37"/>
  <c r="M512" i="37"/>
  <c r="P384" i="38"/>
  <c r="M384" i="38"/>
  <c r="P369" i="37"/>
  <c r="M369" i="37"/>
  <c r="J458" i="37"/>
  <c r="H458" i="37"/>
  <c r="H478" i="38"/>
  <c r="K476" i="38" s="1"/>
  <c r="J423" i="38"/>
  <c r="H423" i="38"/>
  <c r="J491" i="38"/>
  <c r="H491" i="38"/>
  <c r="K530" i="38"/>
  <c r="J369" i="38"/>
  <c r="J514" i="50"/>
  <c r="H478" i="53"/>
  <c r="K476" i="53" s="1"/>
  <c r="C54" i="54"/>
  <c r="G330" i="56"/>
  <c r="I330" i="56"/>
  <c r="AY21" i="54"/>
  <c r="J545" i="37"/>
  <c r="O438" i="39"/>
  <c r="M438" i="39"/>
  <c r="P438" i="39"/>
  <c r="I353" i="51"/>
  <c r="H353" i="51"/>
  <c r="I386" i="46"/>
  <c r="H386" i="46"/>
  <c r="H353" i="55"/>
  <c r="I353" i="55"/>
  <c r="I75" i="56"/>
  <c r="AY21" i="39"/>
  <c r="M530" i="45"/>
  <c r="P530" i="45"/>
  <c r="O530" i="45"/>
  <c r="P476" i="45"/>
  <c r="M476" i="45"/>
  <c r="K351" i="51"/>
  <c r="J351" i="51"/>
  <c r="M476" i="50"/>
  <c r="P476" i="50"/>
  <c r="O476" i="50"/>
  <c r="O423" i="47"/>
  <c r="M423" i="47"/>
  <c r="P423" i="47"/>
  <c r="H530" i="53"/>
  <c r="J530" i="53"/>
  <c r="N31" i="53"/>
  <c r="O476" i="45"/>
  <c r="P369" i="42"/>
  <c r="O369" i="42"/>
  <c r="M369" i="42"/>
  <c r="J58" i="44"/>
  <c r="N371" i="46"/>
  <c r="M371" i="46"/>
  <c r="M491" i="43"/>
  <c r="O491" i="43"/>
  <c r="P491" i="43"/>
  <c r="E89" i="56"/>
  <c r="F89" i="56"/>
  <c r="M384" i="50"/>
  <c r="O384" i="50"/>
  <c r="P384" i="50"/>
  <c r="H384" i="39"/>
  <c r="J384" i="39"/>
  <c r="K384" i="39"/>
  <c r="P7" i="40"/>
  <c r="H476" i="45"/>
  <c r="H8" i="58"/>
  <c r="H29" i="62"/>
  <c r="H29" i="63"/>
  <c r="H369" i="17"/>
  <c r="J369" i="17"/>
  <c r="H351" i="17"/>
  <c r="J351" i="17"/>
  <c r="K351" i="17"/>
  <c r="G9" i="58"/>
  <c r="I30" i="63" s="1"/>
  <c r="G30" i="62"/>
  <c r="D29" i="62"/>
  <c r="D29" i="63"/>
  <c r="D194" i="56"/>
  <c r="E194" i="56" s="1"/>
  <c r="F194" i="56" s="1"/>
  <c r="I24" i="46"/>
  <c r="J24" i="46" s="1"/>
  <c r="K24" i="46" s="1"/>
  <c r="L24" i="46" s="1"/>
  <c r="M24" i="46" s="1"/>
  <c r="D330" i="56"/>
  <c r="E330" i="56" s="1"/>
  <c r="F330" i="56" s="1"/>
  <c r="I24" i="54"/>
  <c r="J24" i="54" s="1"/>
  <c r="K24" i="54" s="1"/>
  <c r="L24" i="54" s="1"/>
  <c r="M24" i="54" s="1"/>
  <c r="G29" i="63"/>
  <c r="O476" i="41" l="1"/>
  <c r="P476" i="41"/>
  <c r="O491" i="40"/>
  <c r="C96" i="58"/>
  <c r="V11" i="58" s="1"/>
  <c r="M491" i="40"/>
  <c r="C103" i="58"/>
  <c r="H458" i="54"/>
  <c r="I460" i="54" s="1"/>
  <c r="K460" i="54" s="1"/>
  <c r="C101" i="58"/>
  <c r="C107" i="58"/>
  <c r="K43" i="63"/>
  <c r="H491" i="54"/>
  <c r="H493" i="54" s="1"/>
  <c r="C97" i="58"/>
  <c r="U12" i="58" s="1"/>
  <c r="K33" i="63"/>
  <c r="J491" i="54"/>
  <c r="J458" i="55"/>
  <c r="C111" i="58"/>
  <c r="M493" i="53"/>
  <c r="C104" i="58"/>
  <c r="V19" i="58" s="1"/>
  <c r="K40" i="63"/>
  <c r="C105" i="58"/>
  <c r="K41" i="63"/>
  <c r="P458" i="55"/>
  <c r="M458" i="53"/>
  <c r="N460" i="53" s="1"/>
  <c r="O460" i="53" s="1"/>
  <c r="O458" i="53"/>
  <c r="H458" i="51"/>
  <c r="H460" i="51" s="1"/>
  <c r="J458" i="54"/>
  <c r="C93" i="58"/>
  <c r="W8" i="58" s="1"/>
  <c r="Q17" i="63"/>
  <c r="M458" i="42"/>
  <c r="J476" i="48"/>
  <c r="O458" i="42"/>
  <c r="H458" i="50"/>
  <c r="H460" i="50" s="1"/>
  <c r="M476" i="47"/>
  <c r="O476" i="47"/>
  <c r="O491" i="48"/>
  <c r="K491" i="55"/>
  <c r="H491" i="55"/>
  <c r="I493" i="55" s="1"/>
  <c r="H476" i="41"/>
  <c r="H478" i="41" s="1"/>
  <c r="K476" i="41" s="1"/>
  <c r="K478" i="39"/>
  <c r="K477" i="39" s="1"/>
  <c r="E30" i="39" s="1"/>
  <c r="K477" i="38"/>
  <c r="E30" i="38" s="1"/>
  <c r="P491" i="48"/>
  <c r="T11" i="58"/>
  <c r="J476" i="39"/>
  <c r="J477" i="39" s="1"/>
  <c r="O531" i="53"/>
  <c r="S521" i="53" s="1"/>
  <c r="M386" i="53"/>
  <c r="I29" i="62"/>
  <c r="M19" i="62"/>
  <c r="C40" i="43"/>
  <c r="M31" i="43" s="1"/>
  <c r="C48" i="43" s="1"/>
  <c r="I493" i="45"/>
  <c r="H386" i="51"/>
  <c r="J425" i="48"/>
  <c r="J424" i="48" s="1"/>
  <c r="R414" i="48" s="1"/>
  <c r="X27" i="58"/>
  <c r="V13" i="58"/>
  <c r="T13" i="58"/>
  <c r="J371" i="41"/>
  <c r="J370" i="41" s="1"/>
  <c r="R360" i="41" s="1"/>
  <c r="AK120" i="50"/>
  <c r="AK119" i="50" s="1"/>
  <c r="AK118" i="50" s="1"/>
  <c r="AK117" i="50" s="1"/>
  <c r="AK116" i="50" s="1"/>
  <c r="AK115" i="50" s="1"/>
  <c r="AK114" i="50" s="1"/>
  <c r="AK113" i="50" s="1"/>
  <c r="AK112" i="50" s="1"/>
  <c r="AK111" i="50" s="1"/>
  <c r="AK110" i="50" s="1"/>
  <c r="AK109" i="50" s="1"/>
  <c r="AK108" i="50" s="1"/>
  <c r="AK107" i="50" s="1"/>
  <c r="AK106" i="50" s="1"/>
  <c r="AK105" i="50" s="1"/>
  <c r="AK104" i="50" s="1"/>
  <c r="AK103" i="50" s="1"/>
  <c r="AK102" i="50" s="1"/>
  <c r="AK101" i="50" s="1"/>
  <c r="AK100" i="50" s="1"/>
  <c r="AK99" i="50" s="1"/>
  <c r="AK98" i="50" s="1"/>
  <c r="AK97" i="50" s="1"/>
  <c r="AS124" i="50" s="1"/>
  <c r="O407" i="47"/>
  <c r="N532" i="42"/>
  <c r="O532" i="42" s="1"/>
  <c r="O531" i="42" s="1"/>
  <c r="S521" i="42" s="1"/>
  <c r="N386" i="49"/>
  <c r="O386" i="49" s="1"/>
  <c r="O385" i="49" s="1"/>
  <c r="AJ120" i="40"/>
  <c r="AJ119" i="40" s="1"/>
  <c r="AJ118" i="40" s="1"/>
  <c r="AJ117" i="40" s="1"/>
  <c r="AJ116" i="40" s="1"/>
  <c r="AJ115" i="40" s="1"/>
  <c r="AJ114" i="40" s="1"/>
  <c r="AJ113" i="40" s="1"/>
  <c r="AJ112" i="40" s="1"/>
  <c r="AJ111" i="40" s="1"/>
  <c r="AJ110" i="40" s="1"/>
  <c r="AJ109" i="40" s="1"/>
  <c r="AJ108" i="40" s="1"/>
  <c r="AJ107" i="40" s="1"/>
  <c r="AJ106" i="40" s="1"/>
  <c r="AJ105" i="40" s="1"/>
  <c r="AJ104" i="40" s="1"/>
  <c r="AJ103" i="40" s="1"/>
  <c r="AJ102" i="40" s="1"/>
  <c r="AJ101" i="40" s="1"/>
  <c r="AJ100" i="40" s="1"/>
  <c r="AJ99" i="40" s="1"/>
  <c r="AJ98" i="40" s="1"/>
  <c r="AJ97" i="40" s="1"/>
  <c r="AR124" i="40" s="1"/>
  <c r="M386" i="54"/>
  <c r="AJ120" i="49"/>
  <c r="AJ119" i="49" s="1"/>
  <c r="AJ118" i="49" s="1"/>
  <c r="AJ117" i="49" s="1"/>
  <c r="AJ116" i="49" s="1"/>
  <c r="AJ115" i="49" s="1"/>
  <c r="AJ114" i="49" s="1"/>
  <c r="AJ113" i="49" s="1"/>
  <c r="AJ112" i="49" s="1"/>
  <c r="AJ111" i="49" s="1"/>
  <c r="AJ110" i="49" s="1"/>
  <c r="AJ109" i="49" s="1"/>
  <c r="AJ108" i="49" s="1"/>
  <c r="AJ107" i="49" s="1"/>
  <c r="AJ106" i="49" s="1"/>
  <c r="AJ105" i="49" s="1"/>
  <c r="AJ104" i="49" s="1"/>
  <c r="AJ103" i="49" s="1"/>
  <c r="AJ102" i="49" s="1"/>
  <c r="AJ101" i="49" s="1"/>
  <c r="AJ100" i="49" s="1"/>
  <c r="AJ99" i="49" s="1"/>
  <c r="AJ98" i="49" s="1"/>
  <c r="AJ97" i="49" s="1"/>
  <c r="AR124" i="49" s="1"/>
  <c r="M425" i="50"/>
  <c r="I371" i="39"/>
  <c r="J493" i="48"/>
  <c r="X15" i="58"/>
  <c r="V17" i="58"/>
  <c r="W15" i="58"/>
  <c r="N478" i="52"/>
  <c r="P478" i="52" s="1"/>
  <c r="H547" i="55"/>
  <c r="K440" i="42"/>
  <c r="K440" i="37"/>
  <c r="T19" i="58"/>
  <c r="N440" i="44"/>
  <c r="O440" i="44" s="1"/>
  <c r="O439" i="44" s="1"/>
  <c r="S415" i="44" s="1"/>
  <c r="H386" i="52"/>
  <c r="K547" i="54"/>
  <c r="K546" i="54" s="1"/>
  <c r="W11" i="58"/>
  <c r="AL120" i="45"/>
  <c r="AL119" i="45" s="1"/>
  <c r="AL118" i="45" s="1"/>
  <c r="AL117" i="45" s="1"/>
  <c r="AL116" i="45" s="1"/>
  <c r="AL115" i="45" s="1"/>
  <c r="AL114" i="45" s="1"/>
  <c r="AL113" i="45" s="1"/>
  <c r="AL112" i="45" s="1"/>
  <c r="AL111" i="45" s="1"/>
  <c r="AL110" i="45" s="1"/>
  <c r="AL109" i="45" s="1"/>
  <c r="AL108" i="45" s="1"/>
  <c r="AL107" i="45" s="1"/>
  <c r="AL106" i="45" s="1"/>
  <c r="AL105" i="45" s="1"/>
  <c r="AL104" i="45" s="1"/>
  <c r="AL103" i="45" s="1"/>
  <c r="AL102" i="45" s="1"/>
  <c r="AL101" i="45" s="1"/>
  <c r="AL100" i="45" s="1"/>
  <c r="AL99" i="45" s="1"/>
  <c r="AL98" i="45" s="1"/>
  <c r="AL97" i="45" s="1"/>
  <c r="AT124" i="45" s="1"/>
  <c r="W25" i="58"/>
  <c r="AK102" i="45"/>
  <c r="AK101" i="45" s="1"/>
  <c r="AK100" i="45" s="1"/>
  <c r="AK99" i="45" s="1"/>
  <c r="AK98" i="45" s="1"/>
  <c r="AK97" i="45" s="1"/>
  <c r="AS124" i="45" s="1"/>
  <c r="U23" i="58"/>
  <c r="P547" i="47"/>
  <c r="P546" i="47" s="1"/>
  <c r="AG120" i="45"/>
  <c r="AG119" i="45" s="1"/>
  <c r="AG118" i="45" s="1"/>
  <c r="AG117" i="45" s="1"/>
  <c r="AG116" i="45" s="1"/>
  <c r="AG115" i="45" s="1"/>
  <c r="AG114" i="45" s="1"/>
  <c r="AG113" i="45" s="1"/>
  <c r="AG112" i="45" s="1"/>
  <c r="AG111" i="45" s="1"/>
  <c r="AG110" i="45" s="1"/>
  <c r="AG109" i="45" s="1"/>
  <c r="AG108" i="45" s="1"/>
  <c r="AG107" i="45" s="1"/>
  <c r="AG106" i="45" s="1"/>
  <c r="AG105" i="45" s="1"/>
  <c r="AG104" i="45" s="1"/>
  <c r="AG103" i="45" s="1"/>
  <c r="AH120" i="50"/>
  <c r="AH119" i="50" s="1"/>
  <c r="AH118" i="50" s="1"/>
  <c r="AH117" i="50" s="1"/>
  <c r="AH116" i="50" s="1"/>
  <c r="AH115" i="50" s="1"/>
  <c r="AH114" i="50" s="1"/>
  <c r="AH113" i="50" s="1"/>
  <c r="AH112" i="50" s="1"/>
  <c r="AH111" i="50" s="1"/>
  <c r="AH110" i="50" s="1"/>
  <c r="AH109" i="50" s="1"/>
  <c r="AH108" i="50" s="1"/>
  <c r="AH107" i="50" s="1"/>
  <c r="AH106" i="50" s="1"/>
  <c r="AH105" i="50" s="1"/>
  <c r="AH104" i="50" s="1"/>
  <c r="AH103" i="50" s="1"/>
  <c r="AH102" i="50" s="1"/>
  <c r="AH101" i="50" s="1"/>
  <c r="AH100" i="50" s="1"/>
  <c r="AH99" i="50" s="1"/>
  <c r="AH98" i="50" s="1"/>
  <c r="AH97" i="50" s="1"/>
  <c r="AP124" i="50" s="1"/>
  <c r="K478" i="40"/>
  <c r="K477" i="40" s="1"/>
  <c r="E30" i="40" s="1"/>
  <c r="I407" i="50"/>
  <c r="K407" i="50" s="1"/>
  <c r="K406" i="50" s="1"/>
  <c r="AL120" i="50"/>
  <c r="AL119" i="50" s="1"/>
  <c r="AL118" i="50" s="1"/>
  <c r="AL117" i="50" s="1"/>
  <c r="AL116" i="50" s="1"/>
  <c r="AL115" i="50" s="1"/>
  <c r="AL114" i="50" s="1"/>
  <c r="AL113" i="50" s="1"/>
  <c r="AL112" i="50" s="1"/>
  <c r="AL111" i="50" s="1"/>
  <c r="AL110" i="50" s="1"/>
  <c r="AL109" i="50" s="1"/>
  <c r="AL108" i="50" s="1"/>
  <c r="AL107" i="50" s="1"/>
  <c r="AL106" i="50" s="1"/>
  <c r="AL105" i="50" s="1"/>
  <c r="AL104" i="50" s="1"/>
  <c r="AL103" i="50" s="1"/>
  <c r="AL102" i="50" s="1"/>
  <c r="AL101" i="50" s="1"/>
  <c r="AL100" i="50" s="1"/>
  <c r="AL99" i="50" s="1"/>
  <c r="AL98" i="50" s="1"/>
  <c r="AL97" i="50" s="1"/>
  <c r="AT124" i="50" s="1"/>
  <c r="U19" i="58"/>
  <c r="AL120" i="37"/>
  <c r="AL119" i="37" s="1"/>
  <c r="AL118" i="37" s="1"/>
  <c r="AL117" i="37" s="1"/>
  <c r="AL116" i="37" s="1"/>
  <c r="AL115" i="37" s="1"/>
  <c r="AL114" i="37" s="1"/>
  <c r="AL113" i="37" s="1"/>
  <c r="AL112" i="37" s="1"/>
  <c r="AL111" i="37" s="1"/>
  <c r="AL110" i="37" s="1"/>
  <c r="AL109" i="37" s="1"/>
  <c r="AL108" i="37" s="1"/>
  <c r="AL107" i="37" s="1"/>
  <c r="AL106" i="37" s="1"/>
  <c r="AL105" i="37" s="1"/>
  <c r="AL104" i="37" s="1"/>
  <c r="AL103" i="37" s="1"/>
  <c r="AL102" i="37" s="1"/>
  <c r="AL101" i="37" s="1"/>
  <c r="AL100" i="37" s="1"/>
  <c r="AL99" i="37" s="1"/>
  <c r="AL98" i="37" s="1"/>
  <c r="AL97" i="37" s="1"/>
  <c r="AT124" i="37" s="1"/>
  <c r="AI120" i="44"/>
  <c r="AI119" i="44" s="1"/>
  <c r="AI118" i="44" s="1"/>
  <c r="AI117" i="44" s="1"/>
  <c r="AI116" i="44" s="1"/>
  <c r="AI115" i="44" s="1"/>
  <c r="AI114" i="44" s="1"/>
  <c r="AI113" i="44" s="1"/>
  <c r="AI112" i="44" s="1"/>
  <c r="AI111" i="44" s="1"/>
  <c r="AI110" i="44" s="1"/>
  <c r="AI109" i="44" s="1"/>
  <c r="AI108" i="44" s="1"/>
  <c r="AI107" i="44" s="1"/>
  <c r="AI106" i="44" s="1"/>
  <c r="AI105" i="44" s="1"/>
  <c r="AH120" i="45"/>
  <c r="AH119" i="45" s="1"/>
  <c r="AH118" i="45" s="1"/>
  <c r="AH117" i="45" s="1"/>
  <c r="AH116" i="45" s="1"/>
  <c r="AH115" i="45" s="1"/>
  <c r="AH114" i="45" s="1"/>
  <c r="AH113" i="45" s="1"/>
  <c r="AH112" i="45" s="1"/>
  <c r="AH111" i="45" s="1"/>
  <c r="AH110" i="45" s="1"/>
  <c r="AH109" i="45" s="1"/>
  <c r="AH108" i="45" s="1"/>
  <c r="AH107" i="45" s="1"/>
  <c r="AH106" i="45" s="1"/>
  <c r="AH105" i="45" s="1"/>
  <c r="AH104" i="45" s="1"/>
  <c r="AH103" i="45" s="1"/>
  <c r="AH102" i="45" s="1"/>
  <c r="AH101" i="45" s="1"/>
  <c r="AH100" i="45" s="1"/>
  <c r="AH99" i="45" s="1"/>
  <c r="AH98" i="45" s="1"/>
  <c r="AH97" i="45" s="1"/>
  <c r="AP124" i="45" s="1"/>
  <c r="J425" i="40"/>
  <c r="J424" i="40" s="1"/>
  <c r="R414" i="40" s="1"/>
  <c r="AK120" i="46"/>
  <c r="AK119" i="46" s="1"/>
  <c r="AK118" i="46" s="1"/>
  <c r="AK117" i="46" s="1"/>
  <c r="AK116" i="46" s="1"/>
  <c r="AK115" i="46" s="1"/>
  <c r="AK114" i="46" s="1"/>
  <c r="AK113" i="46" s="1"/>
  <c r="AK112" i="46" s="1"/>
  <c r="AK111" i="46" s="1"/>
  <c r="AK110" i="46" s="1"/>
  <c r="AK109" i="46" s="1"/>
  <c r="AK108" i="46" s="1"/>
  <c r="AK107" i="46" s="1"/>
  <c r="AK106" i="46" s="1"/>
  <c r="AK105" i="46" s="1"/>
  <c r="AK104" i="46" s="1"/>
  <c r="AK103" i="46" s="1"/>
  <c r="AK102" i="46" s="1"/>
  <c r="AH120" i="52"/>
  <c r="AH119" i="52" s="1"/>
  <c r="AH118" i="52" s="1"/>
  <c r="AH117" i="52" s="1"/>
  <c r="AH116" i="52" s="1"/>
  <c r="AH115" i="52" s="1"/>
  <c r="AH114" i="52" s="1"/>
  <c r="AH113" i="52" s="1"/>
  <c r="AH112" i="52" s="1"/>
  <c r="AH111" i="52" s="1"/>
  <c r="AH110" i="52" s="1"/>
  <c r="AH109" i="52" s="1"/>
  <c r="AH108" i="52" s="1"/>
  <c r="AH107" i="52" s="1"/>
  <c r="AH106" i="52" s="1"/>
  <c r="AH105" i="52" s="1"/>
  <c r="AH104" i="52" s="1"/>
  <c r="AH103" i="52" s="1"/>
  <c r="AH102" i="52" s="1"/>
  <c r="AH101" i="52" s="1"/>
  <c r="AH100" i="52" s="1"/>
  <c r="AH99" i="52" s="1"/>
  <c r="AH98" i="52" s="1"/>
  <c r="AH97" i="52" s="1"/>
  <c r="AP124" i="52" s="1"/>
  <c r="H547" i="54"/>
  <c r="P352" i="17"/>
  <c r="K547" i="17"/>
  <c r="K546" i="17" s="1"/>
  <c r="P407" i="55"/>
  <c r="P406" i="55" s="1"/>
  <c r="J385" i="51"/>
  <c r="R361" i="51" s="1"/>
  <c r="W27" i="58"/>
  <c r="T23" i="58"/>
  <c r="X17" i="58"/>
  <c r="U13" i="58"/>
  <c r="K425" i="47"/>
  <c r="U27" i="58"/>
  <c r="T27" i="58"/>
  <c r="X23" i="58"/>
  <c r="W23" i="58"/>
  <c r="W17" i="58"/>
  <c r="U17" i="58"/>
  <c r="W13" i="58"/>
  <c r="H425" i="47"/>
  <c r="K423" i="47" s="1"/>
  <c r="H478" i="51"/>
  <c r="K476" i="51" s="1"/>
  <c r="N371" i="41"/>
  <c r="P371" i="41" s="1"/>
  <c r="C40" i="37"/>
  <c r="M31" i="37" s="1"/>
  <c r="C48" i="37" s="1"/>
  <c r="AG120" i="49"/>
  <c r="AG119" i="49" s="1"/>
  <c r="AG118" i="49" s="1"/>
  <c r="AG117" i="49" s="1"/>
  <c r="AG116" i="49" s="1"/>
  <c r="AG115" i="49" s="1"/>
  <c r="AG114" i="49" s="1"/>
  <c r="AG113" i="49" s="1"/>
  <c r="AG112" i="49" s="1"/>
  <c r="AG111" i="49" s="1"/>
  <c r="AG110" i="49" s="1"/>
  <c r="AG109" i="49" s="1"/>
  <c r="AG108" i="49" s="1"/>
  <c r="AG107" i="49" s="1"/>
  <c r="AG106" i="49" s="1"/>
  <c r="AG105" i="49" s="1"/>
  <c r="AG104" i="49" s="1"/>
  <c r="AG103" i="49" s="1"/>
  <c r="AG102" i="49" s="1"/>
  <c r="AG101" i="49" s="1"/>
  <c r="AG100" i="49" s="1"/>
  <c r="AG99" i="49" s="1"/>
  <c r="AG98" i="49" s="1"/>
  <c r="AG97" i="49" s="1"/>
  <c r="AO124" i="49" s="1"/>
  <c r="AI120" i="50"/>
  <c r="AI119" i="50" s="1"/>
  <c r="AI118" i="50" s="1"/>
  <c r="AI117" i="50" s="1"/>
  <c r="AI116" i="50" s="1"/>
  <c r="AI115" i="50" s="1"/>
  <c r="AI114" i="50" s="1"/>
  <c r="AI113" i="50" s="1"/>
  <c r="AI112" i="50" s="1"/>
  <c r="AI111" i="50" s="1"/>
  <c r="AI110" i="50" s="1"/>
  <c r="AI109" i="50" s="1"/>
  <c r="AI108" i="50" s="1"/>
  <c r="AI107" i="50" s="1"/>
  <c r="AI106" i="50" s="1"/>
  <c r="AI105" i="50" s="1"/>
  <c r="AI104" i="50" s="1"/>
  <c r="AI103" i="50" s="1"/>
  <c r="AI102" i="50" s="1"/>
  <c r="AI101" i="50" s="1"/>
  <c r="AI100" i="50" s="1"/>
  <c r="AI99" i="50" s="1"/>
  <c r="AI98" i="50" s="1"/>
  <c r="AI97" i="50" s="1"/>
  <c r="AQ124" i="50" s="1"/>
  <c r="AG120" i="50"/>
  <c r="AG119" i="50" s="1"/>
  <c r="AG118" i="50" s="1"/>
  <c r="AG117" i="50" s="1"/>
  <c r="AG116" i="50" s="1"/>
  <c r="AG115" i="50" s="1"/>
  <c r="AG114" i="50" s="1"/>
  <c r="AG113" i="50" s="1"/>
  <c r="AG112" i="50" s="1"/>
  <c r="AG111" i="50" s="1"/>
  <c r="AG110" i="50" s="1"/>
  <c r="AG109" i="50" s="1"/>
  <c r="AG108" i="50" s="1"/>
  <c r="AG107" i="50" s="1"/>
  <c r="AG106" i="50" s="1"/>
  <c r="AG105" i="50" s="1"/>
  <c r="AG104" i="50" s="1"/>
  <c r="AG103" i="50" s="1"/>
  <c r="AG102" i="50" s="1"/>
  <c r="AG101" i="50" s="1"/>
  <c r="AG100" i="50" s="1"/>
  <c r="AG99" i="50" s="1"/>
  <c r="AG98" i="50" s="1"/>
  <c r="AG97" i="50" s="1"/>
  <c r="AO124" i="50" s="1"/>
  <c r="K385" i="38"/>
  <c r="I425" i="51"/>
  <c r="K425" i="51" s="1"/>
  <c r="K424" i="51" s="1"/>
  <c r="J460" i="38"/>
  <c r="J459" i="38" s="1"/>
  <c r="H532" i="43"/>
  <c r="K530" i="43" s="1"/>
  <c r="O352" i="51"/>
  <c r="S359" i="51" s="1"/>
  <c r="K386" i="51"/>
  <c r="K385" i="51" s="1"/>
  <c r="X19" i="58"/>
  <c r="W19" i="58"/>
  <c r="U15" i="58"/>
  <c r="T15" i="58"/>
  <c r="X11" i="58"/>
  <c r="U11" i="58"/>
  <c r="K423" i="52"/>
  <c r="AK120" i="37"/>
  <c r="AK119" i="37" s="1"/>
  <c r="AK118" i="37" s="1"/>
  <c r="AK117" i="37" s="1"/>
  <c r="AK116" i="37" s="1"/>
  <c r="AK115" i="37" s="1"/>
  <c r="AK114" i="37" s="1"/>
  <c r="AK113" i="37" s="1"/>
  <c r="AK112" i="37" s="1"/>
  <c r="AK111" i="37" s="1"/>
  <c r="AK110" i="37" s="1"/>
  <c r="AK109" i="37" s="1"/>
  <c r="AK108" i="37" s="1"/>
  <c r="AK107" i="37" s="1"/>
  <c r="AK106" i="37" s="1"/>
  <c r="AK105" i="37" s="1"/>
  <c r="AK104" i="37" s="1"/>
  <c r="AK103" i="37" s="1"/>
  <c r="AK102" i="37" s="1"/>
  <c r="AK101" i="37" s="1"/>
  <c r="AK100" i="37" s="1"/>
  <c r="AK99" i="37" s="1"/>
  <c r="AK98" i="37" s="1"/>
  <c r="AK97" i="37" s="1"/>
  <c r="AS124" i="37" s="1"/>
  <c r="I493" i="54"/>
  <c r="K493" i="54" s="1"/>
  <c r="K492" i="54" s="1"/>
  <c r="E35" i="54" s="1"/>
  <c r="J352" i="39"/>
  <c r="R359" i="39" s="1"/>
  <c r="K478" i="46"/>
  <c r="K477" i="46" s="1"/>
  <c r="E30" i="46" s="1"/>
  <c r="M547" i="41"/>
  <c r="M478" i="42"/>
  <c r="P546" i="53"/>
  <c r="I460" i="17"/>
  <c r="J460" i="17" s="1"/>
  <c r="J459" i="17" s="1"/>
  <c r="N532" i="39"/>
  <c r="O532" i="39" s="1"/>
  <c r="O531" i="39" s="1"/>
  <c r="S521" i="39" s="1"/>
  <c r="K546" i="43"/>
  <c r="X25" i="58"/>
  <c r="O477" i="39"/>
  <c r="V25" i="58"/>
  <c r="T25" i="58"/>
  <c r="P478" i="39"/>
  <c r="AK120" i="52"/>
  <c r="AK119" i="52" s="1"/>
  <c r="AK118" i="52" s="1"/>
  <c r="AK117" i="52" s="1"/>
  <c r="AK116" i="52" s="1"/>
  <c r="AK115" i="52" s="1"/>
  <c r="AK114" i="52" s="1"/>
  <c r="AK113" i="52" s="1"/>
  <c r="AK112" i="52" s="1"/>
  <c r="AK111" i="52" s="1"/>
  <c r="AK110" i="52" s="1"/>
  <c r="AK109" i="52" s="1"/>
  <c r="AK108" i="52" s="1"/>
  <c r="AK107" i="52" s="1"/>
  <c r="AK106" i="52" s="1"/>
  <c r="AK105" i="52" s="1"/>
  <c r="AK104" i="52" s="1"/>
  <c r="AK103" i="52" s="1"/>
  <c r="AK102" i="52" s="1"/>
  <c r="AK101" i="52" s="1"/>
  <c r="AK100" i="52" s="1"/>
  <c r="AK99" i="52" s="1"/>
  <c r="AK98" i="52" s="1"/>
  <c r="AK97" i="52" s="1"/>
  <c r="AS124" i="52" s="1"/>
  <c r="I532" i="52"/>
  <c r="K532" i="52" s="1"/>
  <c r="K531" i="52" s="1"/>
  <c r="AH120" i="40"/>
  <c r="AH119" i="40" s="1"/>
  <c r="AH118" i="40" s="1"/>
  <c r="AH117" i="40" s="1"/>
  <c r="AH116" i="40" s="1"/>
  <c r="AH115" i="40" s="1"/>
  <c r="AH114" i="40" s="1"/>
  <c r="AH113" i="40" s="1"/>
  <c r="AH112" i="40" s="1"/>
  <c r="AH111" i="40" s="1"/>
  <c r="AH110" i="40" s="1"/>
  <c r="AH109" i="40" s="1"/>
  <c r="AH108" i="40" s="1"/>
  <c r="AH107" i="40" s="1"/>
  <c r="AH106" i="40" s="1"/>
  <c r="AH105" i="40" s="1"/>
  <c r="AH104" i="40" s="1"/>
  <c r="AH103" i="40" s="1"/>
  <c r="AH102" i="40" s="1"/>
  <c r="AH101" i="40" s="1"/>
  <c r="AH100" i="40" s="1"/>
  <c r="AH99" i="40" s="1"/>
  <c r="AH98" i="40" s="1"/>
  <c r="AH97" i="40" s="1"/>
  <c r="AP124" i="40" s="1"/>
  <c r="H493" i="52"/>
  <c r="AL120" i="41"/>
  <c r="AL119" i="41" s="1"/>
  <c r="AL118" i="41" s="1"/>
  <c r="AL117" i="41" s="1"/>
  <c r="AL116" i="41" s="1"/>
  <c r="AL115" i="41" s="1"/>
  <c r="AL114" i="41" s="1"/>
  <c r="AL113" i="41" s="1"/>
  <c r="AL112" i="41" s="1"/>
  <c r="AL111" i="41" s="1"/>
  <c r="AL110" i="41" s="1"/>
  <c r="AL109" i="41" s="1"/>
  <c r="AL108" i="41" s="1"/>
  <c r="AL107" i="41" s="1"/>
  <c r="AL106" i="41" s="1"/>
  <c r="AL105" i="41" s="1"/>
  <c r="AL104" i="41" s="1"/>
  <c r="AL103" i="41" s="1"/>
  <c r="AL102" i="41" s="1"/>
  <c r="AL101" i="41" s="1"/>
  <c r="AL100" i="41" s="1"/>
  <c r="AL99" i="41" s="1"/>
  <c r="AL98" i="41" s="1"/>
  <c r="AL97" i="41" s="1"/>
  <c r="AT124" i="41" s="1"/>
  <c r="AI120" i="52"/>
  <c r="AI119" i="52" s="1"/>
  <c r="AI118" i="52" s="1"/>
  <c r="AI117" i="52" s="1"/>
  <c r="AI116" i="52" s="1"/>
  <c r="AI115" i="52" s="1"/>
  <c r="AI114" i="52" s="1"/>
  <c r="AI113" i="52" s="1"/>
  <c r="AI112" i="52" s="1"/>
  <c r="AI111" i="52" s="1"/>
  <c r="AI110" i="52" s="1"/>
  <c r="AI109" i="52" s="1"/>
  <c r="AI108" i="52" s="1"/>
  <c r="AI107" i="52" s="1"/>
  <c r="AI106" i="52" s="1"/>
  <c r="AI105" i="52" s="1"/>
  <c r="AI104" i="52" s="1"/>
  <c r="AI103" i="52" s="1"/>
  <c r="AI102" i="52" s="1"/>
  <c r="AI101" i="52" s="1"/>
  <c r="AI100" i="52" s="1"/>
  <c r="AI99" i="52" s="1"/>
  <c r="AI98" i="52" s="1"/>
  <c r="AI97" i="52" s="1"/>
  <c r="AQ124" i="52" s="1"/>
  <c r="J371" i="37"/>
  <c r="J370" i="37" s="1"/>
  <c r="AK120" i="53"/>
  <c r="AK119" i="53" s="1"/>
  <c r="AK118" i="53" s="1"/>
  <c r="AK117" i="53" s="1"/>
  <c r="AK116" i="53" s="1"/>
  <c r="AK115" i="53" s="1"/>
  <c r="AK114" i="53" s="1"/>
  <c r="AK113" i="53" s="1"/>
  <c r="AK112" i="53" s="1"/>
  <c r="AK111" i="53" s="1"/>
  <c r="AK110" i="53" s="1"/>
  <c r="AK109" i="53" s="1"/>
  <c r="AK108" i="53" s="1"/>
  <c r="AK107" i="53" s="1"/>
  <c r="AK106" i="53" s="1"/>
  <c r="AK105" i="53" s="1"/>
  <c r="AK104" i="53" s="1"/>
  <c r="AK103" i="53" s="1"/>
  <c r="AK102" i="53" s="1"/>
  <c r="AK101" i="53" s="1"/>
  <c r="AK100" i="53" s="1"/>
  <c r="AK99" i="53" s="1"/>
  <c r="AK98" i="53" s="1"/>
  <c r="AK97" i="53" s="1"/>
  <c r="AS124" i="53" s="1"/>
  <c r="AK120" i="42"/>
  <c r="AK119" i="42" s="1"/>
  <c r="AK118" i="42" s="1"/>
  <c r="AK117" i="42" s="1"/>
  <c r="AK116" i="42" s="1"/>
  <c r="AK115" i="42" s="1"/>
  <c r="AK114" i="42" s="1"/>
  <c r="AK113" i="42" s="1"/>
  <c r="AK112" i="42" s="1"/>
  <c r="AK111" i="42" s="1"/>
  <c r="AK110" i="42" s="1"/>
  <c r="AK109" i="42" s="1"/>
  <c r="AK108" i="42" s="1"/>
  <c r="AK107" i="42" s="1"/>
  <c r="AK106" i="42" s="1"/>
  <c r="M353" i="39"/>
  <c r="H514" i="52"/>
  <c r="AG120" i="40"/>
  <c r="AG119" i="40" s="1"/>
  <c r="AG118" i="40" s="1"/>
  <c r="AG117" i="40" s="1"/>
  <c r="AG116" i="40" s="1"/>
  <c r="AG115" i="40" s="1"/>
  <c r="AG114" i="40" s="1"/>
  <c r="AG113" i="40" s="1"/>
  <c r="AG112" i="40" s="1"/>
  <c r="AG111" i="40" s="1"/>
  <c r="AG110" i="40" s="1"/>
  <c r="AG109" i="40" s="1"/>
  <c r="AG108" i="40" s="1"/>
  <c r="H407" i="46"/>
  <c r="I353" i="48"/>
  <c r="J353" i="48" s="1"/>
  <c r="J352" i="48" s="1"/>
  <c r="H532" i="49"/>
  <c r="K530" i="49" s="1"/>
  <c r="H386" i="17"/>
  <c r="M32" i="55"/>
  <c r="I48" i="55" s="1"/>
  <c r="K424" i="48"/>
  <c r="W18" i="58"/>
  <c r="T18" i="58"/>
  <c r="X18" i="58"/>
  <c r="V18" i="58"/>
  <c r="U18" i="58"/>
  <c r="W10" i="58"/>
  <c r="T10" i="58"/>
  <c r="X10" i="58"/>
  <c r="U10" i="58"/>
  <c r="V10" i="58"/>
  <c r="K30" i="62"/>
  <c r="C94" i="58"/>
  <c r="M371" i="49"/>
  <c r="T21" i="58"/>
  <c r="X21" i="58"/>
  <c r="W21" i="58"/>
  <c r="U21" i="58"/>
  <c r="V21" i="58"/>
  <c r="W26" i="58"/>
  <c r="T26" i="58"/>
  <c r="X26" i="58"/>
  <c r="V26" i="58"/>
  <c r="U26" i="58"/>
  <c r="U16" i="58"/>
  <c r="X16" i="58"/>
  <c r="V16" i="58"/>
  <c r="T16" i="58"/>
  <c r="W16" i="58"/>
  <c r="O352" i="43"/>
  <c r="S359" i="43" s="1"/>
  <c r="K492" i="52"/>
  <c r="E35" i="52" s="1"/>
  <c r="U24" i="58"/>
  <c r="V24" i="58"/>
  <c r="T24" i="58"/>
  <c r="W24" i="58"/>
  <c r="X24" i="58"/>
  <c r="W14" i="58"/>
  <c r="V14" i="58"/>
  <c r="T14" i="58"/>
  <c r="X14" i="58"/>
  <c r="U14" i="58"/>
  <c r="O546" i="47"/>
  <c r="S522" i="47" s="1"/>
  <c r="U20" i="58"/>
  <c r="V20" i="58"/>
  <c r="X20" i="58"/>
  <c r="W20" i="58"/>
  <c r="T20" i="58"/>
  <c r="Y13" i="58"/>
  <c r="Z13" i="58" s="1"/>
  <c r="W22" i="58"/>
  <c r="T22" i="58"/>
  <c r="X22" i="58"/>
  <c r="U22" i="58"/>
  <c r="V22" i="58"/>
  <c r="AK120" i="55"/>
  <c r="AK119" i="55" s="1"/>
  <c r="AK118" i="55" s="1"/>
  <c r="AK117" i="55" s="1"/>
  <c r="AK116" i="55" s="1"/>
  <c r="AK115" i="55" s="1"/>
  <c r="AK114" i="55" s="1"/>
  <c r="AK113" i="55" s="1"/>
  <c r="AK112" i="55" s="1"/>
  <c r="AK111" i="55" s="1"/>
  <c r="AK110" i="55" s="1"/>
  <c r="AK109" i="55" s="1"/>
  <c r="AK108" i="55" s="1"/>
  <c r="AK107" i="55" s="1"/>
  <c r="AK106" i="55" s="1"/>
  <c r="AK105" i="55" s="1"/>
  <c r="AK104" i="55" s="1"/>
  <c r="AK103" i="55" s="1"/>
  <c r="AK102" i="55" s="1"/>
  <c r="AK101" i="55" s="1"/>
  <c r="AK100" i="55" s="1"/>
  <c r="K386" i="54"/>
  <c r="K385" i="54" s="1"/>
  <c r="J386" i="54"/>
  <c r="J385" i="54" s="1"/>
  <c r="M32" i="50"/>
  <c r="I48" i="50" s="1"/>
  <c r="J493" i="52"/>
  <c r="J492" i="52" s="1"/>
  <c r="I371" i="54"/>
  <c r="J371" i="54" s="1"/>
  <c r="J370" i="54" s="1"/>
  <c r="H386" i="54"/>
  <c r="K353" i="38"/>
  <c r="K352" i="38" s="1"/>
  <c r="AH99" i="49"/>
  <c r="AH98" i="49" s="1"/>
  <c r="AH97" i="49" s="1"/>
  <c r="AP124" i="49" s="1"/>
  <c r="O532" i="41"/>
  <c r="O531" i="41" s="1"/>
  <c r="S521" i="41" s="1"/>
  <c r="J477" i="46"/>
  <c r="M425" i="48"/>
  <c r="K546" i="46"/>
  <c r="AH120" i="37"/>
  <c r="AH119" i="37" s="1"/>
  <c r="AH118" i="37" s="1"/>
  <c r="AH117" i="37" s="1"/>
  <c r="AH116" i="37" s="1"/>
  <c r="AH115" i="37" s="1"/>
  <c r="AH114" i="37" s="1"/>
  <c r="AH113" i="37" s="1"/>
  <c r="AH112" i="37" s="1"/>
  <c r="AH111" i="37" s="1"/>
  <c r="AH110" i="37" s="1"/>
  <c r="AH109" i="37" s="1"/>
  <c r="AH108" i="37" s="1"/>
  <c r="AH107" i="37" s="1"/>
  <c r="AH106" i="37" s="1"/>
  <c r="AH105" i="37" s="1"/>
  <c r="AH104" i="37" s="1"/>
  <c r="AH103" i="37" s="1"/>
  <c r="AH102" i="37" s="1"/>
  <c r="AH101" i="37" s="1"/>
  <c r="AH100" i="37" s="1"/>
  <c r="AH99" i="37" s="1"/>
  <c r="AH98" i="37" s="1"/>
  <c r="AH97" i="37" s="1"/>
  <c r="AP124" i="37" s="1"/>
  <c r="AG120" i="37"/>
  <c r="AG119" i="37" s="1"/>
  <c r="AG118" i="37" s="1"/>
  <c r="AG117" i="37" s="1"/>
  <c r="AG116" i="37" s="1"/>
  <c r="AG115" i="37" s="1"/>
  <c r="AG114" i="37" s="1"/>
  <c r="AG113" i="37" s="1"/>
  <c r="AG112" i="37" s="1"/>
  <c r="AG111" i="37" s="1"/>
  <c r="AG110" i="37" s="1"/>
  <c r="AG109" i="37" s="1"/>
  <c r="AG108" i="37" s="1"/>
  <c r="AG107" i="37" s="1"/>
  <c r="AG106" i="37" s="1"/>
  <c r="AG105" i="37" s="1"/>
  <c r="AG104" i="37" s="1"/>
  <c r="AG103" i="37" s="1"/>
  <c r="AG102" i="37" s="1"/>
  <c r="AG101" i="37" s="1"/>
  <c r="AG100" i="37" s="1"/>
  <c r="AG99" i="37" s="1"/>
  <c r="AG98" i="37" s="1"/>
  <c r="AG97" i="37" s="1"/>
  <c r="AO124" i="37" s="1"/>
  <c r="AJ120" i="45"/>
  <c r="AJ119" i="45" s="1"/>
  <c r="AJ118" i="45" s="1"/>
  <c r="AJ117" i="45" s="1"/>
  <c r="AJ116" i="45" s="1"/>
  <c r="AJ115" i="45" s="1"/>
  <c r="AJ114" i="45" s="1"/>
  <c r="AJ113" i="45" s="1"/>
  <c r="AJ112" i="45" s="1"/>
  <c r="AJ111" i="45" s="1"/>
  <c r="AJ110" i="45" s="1"/>
  <c r="AJ109" i="45" s="1"/>
  <c r="AJ108" i="45" s="1"/>
  <c r="AJ107" i="45" s="1"/>
  <c r="AJ106" i="45" s="1"/>
  <c r="AJ105" i="45" s="1"/>
  <c r="AJ104" i="45" s="1"/>
  <c r="AJ103" i="45" s="1"/>
  <c r="AJ102" i="45" s="1"/>
  <c r="AJ101" i="45" s="1"/>
  <c r="AJ100" i="45" s="1"/>
  <c r="AJ99" i="45" s="1"/>
  <c r="AJ98" i="45" s="1"/>
  <c r="AJ97" i="45" s="1"/>
  <c r="AR124" i="45" s="1"/>
  <c r="N386" i="51"/>
  <c r="O386" i="51" s="1"/>
  <c r="O385" i="51" s="1"/>
  <c r="S361" i="51" s="1"/>
  <c r="I353" i="42"/>
  <c r="J353" i="42" s="1"/>
  <c r="J352" i="42" s="1"/>
  <c r="I478" i="44"/>
  <c r="K478" i="44" s="1"/>
  <c r="K477" i="44" s="1"/>
  <c r="E30" i="44" s="1"/>
  <c r="H514" i="51"/>
  <c r="O492" i="48"/>
  <c r="H547" i="44"/>
  <c r="AI120" i="49"/>
  <c r="AI119" i="49" s="1"/>
  <c r="AI118" i="49" s="1"/>
  <c r="AI117" i="49" s="1"/>
  <c r="AI116" i="49" s="1"/>
  <c r="AI115" i="49" s="1"/>
  <c r="AI114" i="49" s="1"/>
  <c r="AI113" i="49" s="1"/>
  <c r="AI112" i="49" s="1"/>
  <c r="AI111" i="49" s="1"/>
  <c r="AI110" i="49" s="1"/>
  <c r="AI109" i="49" s="1"/>
  <c r="AI108" i="49" s="1"/>
  <c r="AI107" i="49" s="1"/>
  <c r="AI106" i="49" s="1"/>
  <c r="AI105" i="49" s="1"/>
  <c r="AI104" i="49" s="1"/>
  <c r="AI103" i="49" s="1"/>
  <c r="AI102" i="49" s="1"/>
  <c r="AI101" i="49" s="1"/>
  <c r="AI100" i="49" s="1"/>
  <c r="AI99" i="49" s="1"/>
  <c r="AI98" i="49" s="1"/>
  <c r="AI97" i="49" s="1"/>
  <c r="AQ124" i="49" s="1"/>
  <c r="C40" i="45"/>
  <c r="M31" i="45" s="1"/>
  <c r="C48" i="45" s="1"/>
  <c r="H425" i="17"/>
  <c r="K423" i="17" s="1"/>
  <c r="K492" i="48"/>
  <c r="E35" i="48" s="1"/>
  <c r="K459" i="54"/>
  <c r="E25" i="54" s="1"/>
  <c r="K513" i="50"/>
  <c r="AI120" i="45"/>
  <c r="AI119" i="45" s="1"/>
  <c r="AI118" i="45" s="1"/>
  <c r="AI117" i="45" s="1"/>
  <c r="AI116" i="45" s="1"/>
  <c r="AI115" i="45" s="1"/>
  <c r="AI114" i="45" s="1"/>
  <c r="AI113" i="45" s="1"/>
  <c r="AI112" i="45" s="1"/>
  <c r="AI111" i="45" s="1"/>
  <c r="AI110" i="45" s="1"/>
  <c r="AI109" i="45" s="1"/>
  <c r="AI108" i="45" s="1"/>
  <c r="AI107" i="45" s="1"/>
  <c r="AI106" i="45" s="1"/>
  <c r="AI105" i="45" s="1"/>
  <c r="AI104" i="45" s="1"/>
  <c r="AI103" i="45" s="1"/>
  <c r="AI102" i="45" s="1"/>
  <c r="AI101" i="45" s="1"/>
  <c r="AI100" i="45" s="1"/>
  <c r="AI99" i="45" s="1"/>
  <c r="AI98" i="45" s="1"/>
  <c r="AI97" i="45" s="1"/>
  <c r="AQ124" i="45" s="1"/>
  <c r="M547" i="53"/>
  <c r="I460" i="52"/>
  <c r="K460" i="52" s="1"/>
  <c r="K459" i="52" s="1"/>
  <c r="E25" i="52" s="1"/>
  <c r="K425" i="17"/>
  <c r="O439" i="38"/>
  <c r="S415" i="38" s="1"/>
  <c r="P353" i="37"/>
  <c r="P352" i="37" s="1"/>
  <c r="AJ120" i="37"/>
  <c r="AJ119" i="37" s="1"/>
  <c r="AJ118" i="37" s="1"/>
  <c r="AJ117" i="37" s="1"/>
  <c r="AJ116" i="37" s="1"/>
  <c r="AJ115" i="37" s="1"/>
  <c r="AJ114" i="37" s="1"/>
  <c r="AJ113" i="37" s="1"/>
  <c r="AJ112" i="37" s="1"/>
  <c r="AJ111" i="37" s="1"/>
  <c r="AJ110" i="37" s="1"/>
  <c r="AJ109" i="37" s="1"/>
  <c r="AJ108" i="37" s="1"/>
  <c r="AJ107" i="37" s="1"/>
  <c r="AJ106" i="37" s="1"/>
  <c r="AJ105" i="37" s="1"/>
  <c r="AJ104" i="37" s="1"/>
  <c r="AJ103" i="37" s="1"/>
  <c r="AJ102" i="37" s="1"/>
  <c r="AJ101" i="37" s="1"/>
  <c r="AJ100" i="37" s="1"/>
  <c r="AJ99" i="37" s="1"/>
  <c r="AJ98" i="37" s="1"/>
  <c r="AJ97" i="37" s="1"/>
  <c r="AR124" i="37" s="1"/>
  <c r="N371" i="43"/>
  <c r="O371" i="43" s="1"/>
  <c r="O370" i="43" s="1"/>
  <c r="K369" i="52"/>
  <c r="P460" i="53"/>
  <c r="P459" i="53" s="1"/>
  <c r="E26" i="53" s="1"/>
  <c r="J513" i="50"/>
  <c r="R520" i="50" s="1"/>
  <c r="AK120" i="49"/>
  <c r="AK119" i="49" s="1"/>
  <c r="AK118" i="49" s="1"/>
  <c r="AK117" i="49" s="1"/>
  <c r="AK116" i="49" s="1"/>
  <c r="AK115" i="49" s="1"/>
  <c r="AK114" i="49" s="1"/>
  <c r="AK113" i="49" s="1"/>
  <c r="AK112" i="49" s="1"/>
  <c r="AK111" i="49" s="1"/>
  <c r="AK110" i="49" s="1"/>
  <c r="AK109" i="49" s="1"/>
  <c r="AK108" i="49" s="1"/>
  <c r="AK107" i="49" s="1"/>
  <c r="AK106" i="49" s="1"/>
  <c r="AK105" i="49" s="1"/>
  <c r="AK104" i="49" s="1"/>
  <c r="AK103" i="49" s="1"/>
  <c r="AK102" i="49" s="1"/>
  <c r="AK101" i="49" s="1"/>
  <c r="AK100" i="49" s="1"/>
  <c r="AK99" i="49" s="1"/>
  <c r="AK98" i="49" s="1"/>
  <c r="AK97" i="49" s="1"/>
  <c r="AS124" i="49" s="1"/>
  <c r="AL120" i="49"/>
  <c r="AL119" i="49" s="1"/>
  <c r="AL118" i="49" s="1"/>
  <c r="AL117" i="49" s="1"/>
  <c r="AL116" i="49" s="1"/>
  <c r="AL115" i="49" s="1"/>
  <c r="AL114" i="49" s="1"/>
  <c r="AL113" i="49" s="1"/>
  <c r="AL112" i="49" s="1"/>
  <c r="AL111" i="49" s="1"/>
  <c r="AL110" i="49" s="1"/>
  <c r="AL109" i="49" s="1"/>
  <c r="AL108" i="49" s="1"/>
  <c r="AL107" i="49" s="1"/>
  <c r="AL106" i="49" s="1"/>
  <c r="AL105" i="49" s="1"/>
  <c r="AL104" i="49" s="1"/>
  <c r="AL103" i="49" s="1"/>
  <c r="AL102" i="49" s="1"/>
  <c r="AL101" i="49" s="1"/>
  <c r="AL100" i="49" s="1"/>
  <c r="AL99" i="49" s="1"/>
  <c r="AL98" i="49" s="1"/>
  <c r="AL97" i="49" s="1"/>
  <c r="AT124" i="49" s="1"/>
  <c r="AJ120" i="55"/>
  <c r="AJ119" i="55" s="1"/>
  <c r="AJ118" i="55" s="1"/>
  <c r="AJ117" i="55" s="1"/>
  <c r="AJ116" i="55" s="1"/>
  <c r="AJ115" i="55" s="1"/>
  <c r="AJ114" i="55" s="1"/>
  <c r="AJ113" i="55" s="1"/>
  <c r="AJ112" i="55" s="1"/>
  <c r="AJ111" i="55" s="1"/>
  <c r="AJ110" i="55" s="1"/>
  <c r="AJ109" i="55" s="1"/>
  <c r="AJ108" i="55" s="1"/>
  <c r="AJ107" i="55" s="1"/>
  <c r="AJ106" i="55" s="1"/>
  <c r="AJ105" i="55" s="1"/>
  <c r="AJ104" i="55" s="1"/>
  <c r="AJ103" i="55" s="1"/>
  <c r="AJ102" i="55" s="1"/>
  <c r="AJ101" i="55" s="1"/>
  <c r="AJ100" i="55" s="1"/>
  <c r="AG102" i="45"/>
  <c r="AG101" i="45" s="1"/>
  <c r="AG100" i="45" s="1"/>
  <c r="AG99" i="45" s="1"/>
  <c r="AG98" i="45" s="1"/>
  <c r="AG97" i="45" s="1"/>
  <c r="AO124" i="45" s="1"/>
  <c r="N460" i="54"/>
  <c r="P460" i="54" s="1"/>
  <c r="P459" i="54" s="1"/>
  <c r="E26" i="54" s="1"/>
  <c r="M353" i="37"/>
  <c r="AI120" i="37"/>
  <c r="AI119" i="37" s="1"/>
  <c r="AI118" i="37" s="1"/>
  <c r="AI117" i="37" s="1"/>
  <c r="AI116" i="37" s="1"/>
  <c r="AI115" i="37" s="1"/>
  <c r="AI114" i="37" s="1"/>
  <c r="AI113" i="37" s="1"/>
  <c r="AI112" i="37" s="1"/>
  <c r="AI111" i="37" s="1"/>
  <c r="AI110" i="37" s="1"/>
  <c r="AI109" i="37" s="1"/>
  <c r="AI108" i="37" s="1"/>
  <c r="AI107" i="37" s="1"/>
  <c r="AI106" i="37" s="1"/>
  <c r="AI105" i="37" s="1"/>
  <c r="AI104" i="37" s="1"/>
  <c r="AI103" i="37" s="1"/>
  <c r="AI102" i="37" s="1"/>
  <c r="AI101" i="37" s="1"/>
  <c r="AI100" i="37" s="1"/>
  <c r="AI99" i="37" s="1"/>
  <c r="AI98" i="37" s="1"/>
  <c r="AI97" i="37" s="1"/>
  <c r="AQ124" i="37" s="1"/>
  <c r="I371" i="52"/>
  <c r="J371" i="52" s="1"/>
  <c r="J370" i="52" s="1"/>
  <c r="M353" i="42"/>
  <c r="M32" i="17"/>
  <c r="I48" i="17" s="1"/>
  <c r="J477" i="40"/>
  <c r="N386" i="41"/>
  <c r="M514" i="40"/>
  <c r="I460" i="51"/>
  <c r="J460" i="51" s="1"/>
  <c r="J459" i="51" s="1"/>
  <c r="M460" i="53"/>
  <c r="O546" i="42"/>
  <c r="S522" i="42" s="1"/>
  <c r="J424" i="55"/>
  <c r="R414" i="55" s="1"/>
  <c r="AJ120" i="48"/>
  <c r="AJ119" i="48" s="1"/>
  <c r="AJ118" i="48" s="1"/>
  <c r="AJ117" i="48" s="1"/>
  <c r="AJ116" i="48" s="1"/>
  <c r="AJ115" i="48" s="1"/>
  <c r="AJ114" i="48" s="1"/>
  <c r="AJ113" i="48" s="1"/>
  <c r="AJ112" i="48" s="1"/>
  <c r="AJ111" i="48" s="1"/>
  <c r="AJ110" i="48" s="1"/>
  <c r="AJ109" i="48" s="1"/>
  <c r="AJ108" i="48" s="1"/>
  <c r="AJ107" i="48" s="1"/>
  <c r="AJ106" i="48" s="1"/>
  <c r="AJ105" i="48" s="1"/>
  <c r="AJ104" i="48" s="1"/>
  <c r="AJ103" i="48" s="1"/>
  <c r="AJ102" i="48" s="1"/>
  <c r="AJ101" i="48" s="1"/>
  <c r="AJ100" i="48" s="1"/>
  <c r="AJ99" i="48" s="1"/>
  <c r="AJ98" i="48" s="1"/>
  <c r="AJ97" i="48" s="1"/>
  <c r="AR124" i="48" s="1"/>
  <c r="AH113" i="53"/>
  <c r="AH112" i="53" s="1"/>
  <c r="AH111" i="53" s="1"/>
  <c r="AH110" i="53" s="1"/>
  <c r="AH109" i="53" s="1"/>
  <c r="AH108" i="53" s="1"/>
  <c r="AH107" i="53" s="1"/>
  <c r="AH106" i="53" s="1"/>
  <c r="AH105" i="53" s="1"/>
  <c r="AH104" i="53" s="1"/>
  <c r="AH103" i="53" s="1"/>
  <c r="AH102" i="53" s="1"/>
  <c r="AH101" i="53" s="1"/>
  <c r="AH100" i="53" s="1"/>
  <c r="AH99" i="53" s="1"/>
  <c r="AH98" i="53" s="1"/>
  <c r="AH97" i="53" s="1"/>
  <c r="AP124" i="53" s="1"/>
  <c r="M460" i="37"/>
  <c r="H532" i="39"/>
  <c r="K530" i="39" s="1"/>
  <c r="O547" i="41"/>
  <c r="O546" i="41" s="1"/>
  <c r="S522" i="41" s="1"/>
  <c r="P459" i="50"/>
  <c r="E26" i="50" s="1"/>
  <c r="M32" i="38"/>
  <c r="I48" i="38" s="1"/>
  <c r="N353" i="47"/>
  <c r="M353" i="47"/>
  <c r="AL120" i="46"/>
  <c r="AL119" i="46" s="1"/>
  <c r="AL118" i="46" s="1"/>
  <c r="AL117" i="46" s="1"/>
  <c r="AL116" i="46" s="1"/>
  <c r="AL115" i="46" s="1"/>
  <c r="AL114" i="46" s="1"/>
  <c r="AL113" i="46" s="1"/>
  <c r="AL112" i="46" s="1"/>
  <c r="AL111" i="46" s="1"/>
  <c r="AL110" i="46" s="1"/>
  <c r="AL109" i="46" s="1"/>
  <c r="AL108" i="46" s="1"/>
  <c r="AL107" i="46" s="1"/>
  <c r="AL106" i="46" s="1"/>
  <c r="AL105" i="46" s="1"/>
  <c r="AL104" i="46" s="1"/>
  <c r="AL103" i="46" s="1"/>
  <c r="AL102" i="46" s="1"/>
  <c r="AL101" i="46" s="1"/>
  <c r="AL100" i="46" s="1"/>
  <c r="AL99" i="46" s="1"/>
  <c r="AL98" i="46" s="1"/>
  <c r="AL97" i="46" s="1"/>
  <c r="AT124" i="46" s="1"/>
  <c r="AJ120" i="46"/>
  <c r="AJ119" i="46" s="1"/>
  <c r="AJ118" i="46" s="1"/>
  <c r="AJ117" i="46" s="1"/>
  <c r="AJ116" i="46" s="1"/>
  <c r="AJ115" i="46" s="1"/>
  <c r="AJ114" i="46" s="1"/>
  <c r="AJ113" i="46" s="1"/>
  <c r="AJ112" i="46" s="1"/>
  <c r="AJ111" i="46" s="1"/>
  <c r="AJ110" i="46" s="1"/>
  <c r="AJ109" i="46" s="1"/>
  <c r="AJ108" i="46" s="1"/>
  <c r="AJ107" i="46" s="1"/>
  <c r="AJ106" i="46" s="1"/>
  <c r="AJ105" i="46" s="1"/>
  <c r="AJ104" i="46" s="1"/>
  <c r="AJ103" i="46" s="1"/>
  <c r="AJ102" i="46" s="1"/>
  <c r="AJ101" i="46" s="1"/>
  <c r="AJ100" i="46" s="1"/>
  <c r="AJ99" i="46" s="1"/>
  <c r="AJ98" i="46" s="1"/>
  <c r="AJ97" i="46" s="1"/>
  <c r="AR124" i="46" s="1"/>
  <c r="I353" i="44"/>
  <c r="J353" i="44" s="1"/>
  <c r="J352" i="44" s="1"/>
  <c r="M478" i="37"/>
  <c r="C40" i="51"/>
  <c r="M31" i="51" s="1"/>
  <c r="C48" i="51" s="1"/>
  <c r="AH120" i="54"/>
  <c r="AH119" i="54" s="1"/>
  <c r="AH118" i="54" s="1"/>
  <c r="AH117" i="54" s="1"/>
  <c r="AH116" i="54" s="1"/>
  <c r="AH115" i="54" s="1"/>
  <c r="AH114" i="54" s="1"/>
  <c r="AH113" i="54" s="1"/>
  <c r="AH112" i="54" s="1"/>
  <c r="AH111" i="54" s="1"/>
  <c r="AH110" i="54" s="1"/>
  <c r="AH109" i="54" s="1"/>
  <c r="AH108" i="54" s="1"/>
  <c r="AH107" i="54" s="1"/>
  <c r="AH106" i="54" s="1"/>
  <c r="AH105" i="54" s="1"/>
  <c r="AH104" i="54" s="1"/>
  <c r="AH103" i="54" s="1"/>
  <c r="AH102" i="54" s="1"/>
  <c r="AH101" i="54" s="1"/>
  <c r="AH100" i="54" s="1"/>
  <c r="AH99" i="54" s="1"/>
  <c r="AH98" i="54" s="1"/>
  <c r="AH97" i="54" s="1"/>
  <c r="AP124" i="54" s="1"/>
  <c r="AG104" i="43"/>
  <c r="AG103" i="43" s="1"/>
  <c r="AG102" i="43" s="1"/>
  <c r="AG101" i="43" s="1"/>
  <c r="AG100" i="43" s="1"/>
  <c r="AG99" i="43" s="1"/>
  <c r="AG98" i="43" s="1"/>
  <c r="AG97" i="43" s="1"/>
  <c r="AO124" i="43" s="1"/>
  <c r="AH100" i="48"/>
  <c r="AH99" i="48" s="1"/>
  <c r="AH98" i="48" s="1"/>
  <c r="AH97" i="48" s="1"/>
  <c r="AP124" i="48" s="1"/>
  <c r="AL120" i="48"/>
  <c r="AL119" i="48" s="1"/>
  <c r="AL118" i="48" s="1"/>
  <c r="AL117" i="48" s="1"/>
  <c r="AL116" i="48" s="1"/>
  <c r="AL115" i="48" s="1"/>
  <c r="AL114" i="48" s="1"/>
  <c r="AL113" i="48" s="1"/>
  <c r="AL112" i="48" s="1"/>
  <c r="AL111" i="48" s="1"/>
  <c r="AL110" i="48" s="1"/>
  <c r="AL109" i="48" s="1"/>
  <c r="AL108" i="48" s="1"/>
  <c r="AL107" i="48" s="1"/>
  <c r="AL106" i="48" s="1"/>
  <c r="AL105" i="48" s="1"/>
  <c r="AL104" i="48" s="1"/>
  <c r="AL103" i="48" s="1"/>
  <c r="AL102" i="48" s="1"/>
  <c r="AL101" i="48" s="1"/>
  <c r="AL100" i="48" s="1"/>
  <c r="AL99" i="48" s="1"/>
  <c r="AL98" i="48" s="1"/>
  <c r="AL97" i="48" s="1"/>
  <c r="AT124" i="48" s="1"/>
  <c r="N386" i="42"/>
  <c r="P386" i="42" s="1"/>
  <c r="P385" i="42" s="1"/>
  <c r="M371" i="44"/>
  <c r="N547" i="50"/>
  <c r="O547" i="50" s="1"/>
  <c r="O546" i="50" s="1"/>
  <c r="S522" i="50" s="1"/>
  <c r="J439" i="42"/>
  <c r="R415" i="42" s="1"/>
  <c r="O406" i="55"/>
  <c r="S413" i="55" s="1"/>
  <c r="H460" i="43"/>
  <c r="K459" i="43"/>
  <c r="E25" i="43" s="1"/>
  <c r="H547" i="51"/>
  <c r="M32" i="37"/>
  <c r="I48" i="37" s="1"/>
  <c r="I425" i="53"/>
  <c r="P513" i="40"/>
  <c r="AH120" i="46"/>
  <c r="AH119" i="46" s="1"/>
  <c r="AH118" i="46" s="1"/>
  <c r="AH117" i="46" s="1"/>
  <c r="AH116" i="46" s="1"/>
  <c r="AH115" i="46" s="1"/>
  <c r="AH114" i="46" s="1"/>
  <c r="AH113" i="46" s="1"/>
  <c r="AH112" i="46" s="1"/>
  <c r="AH111" i="46" s="1"/>
  <c r="AH110" i="46" s="1"/>
  <c r="AH109" i="46" s="1"/>
  <c r="AH108" i="46" s="1"/>
  <c r="AH107" i="46" s="1"/>
  <c r="AH106" i="46" s="1"/>
  <c r="AH105" i="46" s="1"/>
  <c r="AH104" i="46" s="1"/>
  <c r="AH103" i="46" s="1"/>
  <c r="AH102" i="46" s="1"/>
  <c r="AH101" i="46" s="1"/>
  <c r="AH100" i="46" s="1"/>
  <c r="AH99" i="46" s="1"/>
  <c r="AH98" i="46" s="1"/>
  <c r="AH97" i="46" s="1"/>
  <c r="AP124" i="46" s="1"/>
  <c r="H440" i="38"/>
  <c r="AG120" i="53"/>
  <c r="AG119" i="53" s="1"/>
  <c r="AG118" i="53" s="1"/>
  <c r="AG117" i="53" s="1"/>
  <c r="AG116" i="53" s="1"/>
  <c r="AG115" i="53" s="1"/>
  <c r="AG114" i="53" s="1"/>
  <c r="AG113" i="53" s="1"/>
  <c r="AG112" i="53" s="1"/>
  <c r="AG111" i="53" s="1"/>
  <c r="AG110" i="53" s="1"/>
  <c r="AG109" i="53" s="1"/>
  <c r="AG108" i="53" s="1"/>
  <c r="AG107" i="53" s="1"/>
  <c r="AG106" i="53" s="1"/>
  <c r="AG105" i="53" s="1"/>
  <c r="AG104" i="53" s="1"/>
  <c r="H407" i="42"/>
  <c r="H460" i="39"/>
  <c r="O424" i="48"/>
  <c r="S414" i="48" s="1"/>
  <c r="P406" i="47"/>
  <c r="AK101" i="46"/>
  <c r="AK100" i="46" s="1"/>
  <c r="AK99" i="46" s="1"/>
  <c r="AK98" i="46" s="1"/>
  <c r="AK97" i="46" s="1"/>
  <c r="AS124" i="46" s="1"/>
  <c r="AI120" i="46"/>
  <c r="AI119" i="46" s="1"/>
  <c r="AI118" i="46" s="1"/>
  <c r="AI117" i="46" s="1"/>
  <c r="AI116" i="46" s="1"/>
  <c r="AI115" i="46" s="1"/>
  <c r="AI114" i="46" s="1"/>
  <c r="AI113" i="46" s="1"/>
  <c r="AI112" i="46" s="1"/>
  <c r="AI111" i="46" s="1"/>
  <c r="AI110" i="46" s="1"/>
  <c r="AI109" i="46" s="1"/>
  <c r="AI108" i="46" s="1"/>
  <c r="AI107" i="46" s="1"/>
  <c r="AI106" i="46" s="1"/>
  <c r="AI105" i="46" s="1"/>
  <c r="AI104" i="46" s="1"/>
  <c r="AI103" i="46" s="1"/>
  <c r="AI102" i="46" s="1"/>
  <c r="AI101" i="46" s="1"/>
  <c r="AI100" i="46" s="1"/>
  <c r="AI99" i="46" s="1"/>
  <c r="AI98" i="46" s="1"/>
  <c r="AI97" i="46" s="1"/>
  <c r="AQ124" i="46" s="1"/>
  <c r="AG101" i="46"/>
  <c r="AG100" i="46" s="1"/>
  <c r="AG99" i="46" s="1"/>
  <c r="AG98" i="46" s="1"/>
  <c r="AG97" i="46" s="1"/>
  <c r="AO124" i="46" s="1"/>
  <c r="P531" i="53"/>
  <c r="N371" i="47"/>
  <c r="O371" i="47" s="1"/>
  <c r="O370" i="47" s="1"/>
  <c r="O385" i="48"/>
  <c r="P546" i="37"/>
  <c r="AK120" i="48"/>
  <c r="AK119" i="48" s="1"/>
  <c r="AK118" i="48" s="1"/>
  <c r="AK117" i="48" s="1"/>
  <c r="AK116" i="48" s="1"/>
  <c r="AK115" i="48" s="1"/>
  <c r="AK114" i="48" s="1"/>
  <c r="AK113" i="48" s="1"/>
  <c r="AK112" i="48" s="1"/>
  <c r="AK111" i="48" s="1"/>
  <c r="AK110" i="48" s="1"/>
  <c r="AK109" i="48" s="1"/>
  <c r="AK108" i="48" s="1"/>
  <c r="AK107" i="48" s="1"/>
  <c r="AK106" i="48" s="1"/>
  <c r="AK105" i="48" s="1"/>
  <c r="AK104" i="48" s="1"/>
  <c r="AK103" i="48" s="1"/>
  <c r="AK102" i="48" s="1"/>
  <c r="AK101" i="48" s="1"/>
  <c r="AK100" i="48" s="1"/>
  <c r="AK99" i="48" s="1"/>
  <c r="AK98" i="48" s="1"/>
  <c r="AK97" i="48" s="1"/>
  <c r="AS124" i="48" s="1"/>
  <c r="J477" i="37"/>
  <c r="N440" i="52"/>
  <c r="P440" i="52" s="1"/>
  <c r="P439" i="52" s="1"/>
  <c r="K425" i="45"/>
  <c r="K424" i="45" s="1"/>
  <c r="M547" i="46"/>
  <c r="J460" i="43"/>
  <c r="J459" i="43" s="1"/>
  <c r="K425" i="39"/>
  <c r="N547" i="48"/>
  <c r="P547" i="48" s="1"/>
  <c r="P546" i="48" s="1"/>
  <c r="J460" i="39"/>
  <c r="J459" i="39" s="1"/>
  <c r="H460" i="54"/>
  <c r="P513" i="46"/>
  <c r="P460" i="37"/>
  <c r="P459" i="37" s="1"/>
  <c r="E26" i="37" s="1"/>
  <c r="O460" i="37"/>
  <c r="O459" i="37" s="1"/>
  <c r="M460" i="41"/>
  <c r="H407" i="39"/>
  <c r="O352" i="48"/>
  <c r="S359" i="48" s="1"/>
  <c r="O514" i="46"/>
  <c r="O513" i="46" s="1"/>
  <c r="S520" i="46" s="1"/>
  <c r="J513" i="42"/>
  <c r="R520" i="42" s="1"/>
  <c r="J546" i="46"/>
  <c r="R522" i="46" s="1"/>
  <c r="K406" i="46"/>
  <c r="AG120" i="52"/>
  <c r="AG119" i="52" s="1"/>
  <c r="AG118" i="52" s="1"/>
  <c r="AG117" i="52" s="1"/>
  <c r="AG116" i="52" s="1"/>
  <c r="AG115" i="52" s="1"/>
  <c r="AG114" i="52" s="1"/>
  <c r="AG113" i="52" s="1"/>
  <c r="AG112" i="52" s="1"/>
  <c r="AG111" i="52" s="1"/>
  <c r="AG110" i="52" s="1"/>
  <c r="AG109" i="52" s="1"/>
  <c r="AG108" i="52" s="1"/>
  <c r="AG107" i="52" s="1"/>
  <c r="AG106" i="52" s="1"/>
  <c r="AG105" i="52" s="1"/>
  <c r="AG104" i="52" s="1"/>
  <c r="AG103" i="52" s="1"/>
  <c r="AG102" i="52" s="1"/>
  <c r="AG101" i="52" s="1"/>
  <c r="AG100" i="52" s="1"/>
  <c r="AG99" i="52" s="1"/>
  <c r="AG98" i="52" s="1"/>
  <c r="AG97" i="52" s="1"/>
  <c r="AO124" i="52" s="1"/>
  <c r="AJ105" i="52"/>
  <c r="AJ104" i="52" s="1"/>
  <c r="AJ103" i="52" s="1"/>
  <c r="AJ102" i="52" s="1"/>
  <c r="AJ101" i="52" s="1"/>
  <c r="AJ100" i="52" s="1"/>
  <c r="AJ99" i="52" s="1"/>
  <c r="AJ98" i="52" s="1"/>
  <c r="AJ97" i="52" s="1"/>
  <c r="AR124" i="52" s="1"/>
  <c r="AK120" i="40"/>
  <c r="AK119" i="40" s="1"/>
  <c r="AK118" i="40" s="1"/>
  <c r="AK117" i="40" s="1"/>
  <c r="AK116" i="40" s="1"/>
  <c r="AK115" i="40" s="1"/>
  <c r="AK114" i="40" s="1"/>
  <c r="AK113" i="40" s="1"/>
  <c r="AK112" i="40" s="1"/>
  <c r="AK111" i="40" s="1"/>
  <c r="AK110" i="40" s="1"/>
  <c r="AK109" i="40" s="1"/>
  <c r="AK108" i="40" s="1"/>
  <c r="AK107" i="40" s="1"/>
  <c r="AK106" i="40" s="1"/>
  <c r="AK105" i="40" s="1"/>
  <c r="AK104" i="40" s="1"/>
  <c r="AK103" i="40" s="1"/>
  <c r="AK102" i="40" s="1"/>
  <c r="AK101" i="40" s="1"/>
  <c r="AK100" i="40" s="1"/>
  <c r="AK99" i="40" s="1"/>
  <c r="AK98" i="40" s="1"/>
  <c r="AK97" i="40" s="1"/>
  <c r="AS124" i="40" s="1"/>
  <c r="I425" i="46"/>
  <c r="K425" i="46" s="1"/>
  <c r="K424" i="46" s="1"/>
  <c r="I547" i="45"/>
  <c r="K547" i="45" s="1"/>
  <c r="K546" i="45" s="1"/>
  <c r="H386" i="55"/>
  <c r="I478" i="52"/>
  <c r="J478" i="52" s="1"/>
  <c r="J477" i="52" s="1"/>
  <c r="O352" i="17"/>
  <c r="AI104" i="44"/>
  <c r="AI103" i="44" s="1"/>
  <c r="AI102" i="44" s="1"/>
  <c r="AI101" i="44" s="1"/>
  <c r="AI100" i="44" s="1"/>
  <c r="AI99" i="44" s="1"/>
  <c r="AI98" i="44" s="1"/>
  <c r="AI97" i="44" s="1"/>
  <c r="AQ124" i="44" s="1"/>
  <c r="H407" i="53"/>
  <c r="C40" i="52"/>
  <c r="M31" i="52" s="1"/>
  <c r="C48" i="52" s="1"/>
  <c r="AG120" i="48"/>
  <c r="AG119" i="48" s="1"/>
  <c r="AG118" i="48" s="1"/>
  <c r="AG117" i="48" s="1"/>
  <c r="AG116" i="48" s="1"/>
  <c r="AG115" i="48" s="1"/>
  <c r="AG114" i="48" s="1"/>
  <c r="AG113" i="48" s="1"/>
  <c r="AG112" i="48" s="1"/>
  <c r="AG111" i="48" s="1"/>
  <c r="AG110" i="48" s="1"/>
  <c r="AG109" i="48" s="1"/>
  <c r="AG108" i="48" s="1"/>
  <c r="AG107" i="48" s="1"/>
  <c r="AG106" i="48" s="1"/>
  <c r="AG105" i="48" s="1"/>
  <c r="AG104" i="48" s="1"/>
  <c r="AG103" i="48" s="1"/>
  <c r="AG102" i="48" s="1"/>
  <c r="AG101" i="48" s="1"/>
  <c r="AG100" i="48" s="1"/>
  <c r="AG99" i="48" s="1"/>
  <c r="AG98" i="48" s="1"/>
  <c r="AG97" i="48" s="1"/>
  <c r="AO124" i="48" s="1"/>
  <c r="N371" i="50"/>
  <c r="O371" i="50" s="1"/>
  <c r="O370" i="50" s="1"/>
  <c r="AL120" i="44"/>
  <c r="AL119" i="44" s="1"/>
  <c r="AL118" i="44" s="1"/>
  <c r="AL117" i="44" s="1"/>
  <c r="AL116" i="44" s="1"/>
  <c r="AL115" i="44" s="1"/>
  <c r="AL114" i="44" s="1"/>
  <c r="AL113" i="44" s="1"/>
  <c r="AL112" i="44" s="1"/>
  <c r="AL111" i="44" s="1"/>
  <c r="AL110" i="44" s="1"/>
  <c r="AL109" i="44" s="1"/>
  <c r="AL108" i="44" s="1"/>
  <c r="AL107" i="44" s="1"/>
  <c r="AL106" i="44" s="1"/>
  <c r="AL105" i="44" s="1"/>
  <c r="AL104" i="44" s="1"/>
  <c r="AL103" i="44" s="1"/>
  <c r="AL102" i="44" s="1"/>
  <c r="AL101" i="44" s="1"/>
  <c r="AL100" i="44" s="1"/>
  <c r="AL99" i="44" s="1"/>
  <c r="AL98" i="44" s="1"/>
  <c r="AL97" i="44" s="1"/>
  <c r="AT124" i="44" s="1"/>
  <c r="K439" i="42"/>
  <c r="K493" i="50"/>
  <c r="K492" i="50" s="1"/>
  <c r="E35" i="50" s="1"/>
  <c r="O514" i="55"/>
  <c r="O513" i="55" s="1"/>
  <c r="S520" i="55" s="1"/>
  <c r="O460" i="50"/>
  <c r="O459" i="50" s="1"/>
  <c r="K406" i="42"/>
  <c r="O425" i="42"/>
  <c r="O424" i="42" s="1"/>
  <c r="S414" i="42" s="1"/>
  <c r="J386" i="38"/>
  <c r="J385" i="38" s="1"/>
  <c r="R361" i="38" s="1"/>
  <c r="I532" i="17"/>
  <c r="K532" i="17" s="1"/>
  <c r="C40" i="42"/>
  <c r="M31" i="42" s="1"/>
  <c r="C48" i="42" s="1"/>
  <c r="AK120" i="44"/>
  <c r="AK119" i="44" s="1"/>
  <c r="AK118" i="44" s="1"/>
  <c r="AK117" i="44" s="1"/>
  <c r="AK116" i="44" s="1"/>
  <c r="AK115" i="44" s="1"/>
  <c r="AK114" i="44" s="1"/>
  <c r="AK113" i="44" s="1"/>
  <c r="AK112" i="44" s="1"/>
  <c r="AK111" i="44" s="1"/>
  <c r="AK110" i="44" s="1"/>
  <c r="AK109" i="44" s="1"/>
  <c r="AK108" i="44" s="1"/>
  <c r="AK107" i="44" s="1"/>
  <c r="AK106" i="44" s="1"/>
  <c r="AK105" i="44" s="1"/>
  <c r="AK104" i="44" s="1"/>
  <c r="AK103" i="44" s="1"/>
  <c r="AK102" i="44" s="1"/>
  <c r="AK101" i="44" s="1"/>
  <c r="AK100" i="44" s="1"/>
  <c r="AK99" i="44" s="1"/>
  <c r="AK98" i="44" s="1"/>
  <c r="AK97" i="44" s="1"/>
  <c r="AS124" i="44" s="1"/>
  <c r="I514" i="40"/>
  <c r="J514" i="40" s="1"/>
  <c r="J513" i="40" s="1"/>
  <c r="R520" i="40" s="1"/>
  <c r="O406" i="47"/>
  <c r="S413" i="47" s="1"/>
  <c r="K425" i="55"/>
  <c r="K424" i="55" s="1"/>
  <c r="J492" i="48"/>
  <c r="J460" i="54"/>
  <c r="J459" i="54" s="1"/>
  <c r="AL120" i="52"/>
  <c r="AL119" i="52" s="1"/>
  <c r="AL118" i="52" s="1"/>
  <c r="AL117" i="52" s="1"/>
  <c r="AL116" i="52" s="1"/>
  <c r="AL115" i="52" s="1"/>
  <c r="AL114" i="52" s="1"/>
  <c r="AL113" i="52" s="1"/>
  <c r="AL112" i="52" s="1"/>
  <c r="AL111" i="52" s="1"/>
  <c r="AL110" i="52" s="1"/>
  <c r="AL109" i="52" s="1"/>
  <c r="AL108" i="52" s="1"/>
  <c r="AL107" i="52" s="1"/>
  <c r="AL106" i="52" s="1"/>
  <c r="AL105" i="52" s="1"/>
  <c r="AL104" i="52" s="1"/>
  <c r="AL103" i="52" s="1"/>
  <c r="AL102" i="52" s="1"/>
  <c r="AL101" i="52" s="1"/>
  <c r="AL100" i="52" s="1"/>
  <c r="AL99" i="52" s="1"/>
  <c r="AL98" i="52" s="1"/>
  <c r="AL97" i="52" s="1"/>
  <c r="AT124" i="52" s="1"/>
  <c r="AL120" i="40"/>
  <c r="AL119" i="40" s="1"/>
  <c r="AL118" i="40" s="1"/>
  <c r="AL117" i="40" s="1"/>
  <c r="AL116" i="40" s="1"/>
  <c r="AL115" i="40" s="1"/>
  <c r="AL114" i="40" s="1"/>
  <c r="AL113" i="40" s="1"/>
  <c r="AL112" i="40" s="1"/>
  <c r="AL111" i="40" s="1"/>
  <c r="AL110" i="40" s="1"/>
  <c r="AL109" i="40" s="1"/>
  <c r="AL108" i="40" s="1"/>
  <c r="AL107" i="40" s="1"/>
  <c r="AL106" i="40" s="1"/>
  <c r="AL105" i="40" s="1"/>
  <c r="AL104" i="40" s="1"/>
  <c r="AL103" i="40" s="1"/>
  <c r="AL102" i="40" s="1"/>
  <c r="AL101" i="40" s="1"/>
  <c r="AL100" i="40" s="1"/>
  <c r="AL99" i="40" s="1"/>
  <c r="AL98" i="40" s="1"/>
  <c r="AL97" i="40" s="1"/>
  <c r="AT124" i="40" s="1"/>
  <c r="N493" i="46"/>
  <c r="O493" i="46" s="1"/>
  <c r="O492" i="46" s="1"/>
  <c r="J532" i="38"/>
  <c r="J531" i="38" s="1"/>
  <c r="R521" i="38" s="1"/>
  <c r="C40" i="53"/>
  <c r="M31" i="53" s="1"/>
  <c r="C48" i="53" s="1"/>
  <c r="AH120" i="42"/>
  <c r="AH119" i="42" s="1"/>
  <c r="AH118" i="42" s="1"/>
  <c r="AH117" i="42" s="1"/>
  <c r="AH116" i="42" s="1"/>
  <c r="AH115" i="42" s="1"/>
  <c r="AH114" i="42" s="1"/>
  <c r="AH113" i="42" s="1"/>
  <c r="AH112" i="42" s="1"/>
  <c r="AH111" i="42" s="1"/>
  <c r="AH110" i="42" s="1"/>
  <c r="AH109" i="42" s="1"/>
  <c r="AH108" i="42" s="1"/>
  <c r="AH107" i="42" s="1"/>
  <c r="AH106" i="42" s="1"/>
  <c r="AH105" i="42" s="1"/>
  <c r="AH104" i="42" s="1"/>
  <c r="AH103" i="42" s="1"/>
  <c r="AH102" i="42" s="1"/>
  <c r="AH101" i="42" s="1"/>
  <c r="AH100" i="42" s="1"/>
  <c r="AH99" i="42" s="1"/>
  <c r="AH98" i="42" s="1"/>
  <c r="AH97" i="42" s="1"/>
  <c r="AP124" i="42" s="1"/>
  <c r="AG120" i="42"/>
  <c r="AG119" i="42" s="1"/>
  <c r="AG118" i="42" s="1"/>
  <c r="AG117" i="42" s="1"/>
  <c r="AG116" i="42" s="1"/>
  <c r="AG115" i="42" s="1"/>
  <c r="AG114" i="42" s="1"/>
  <c r="AG113" i="42" s="1"/>
  <c r="AG112" i="42" s="1"/>
  <c r="AG111" i="42" s="1"/>
  <c r="AG110" i="42" s="1"/>
  <c r="AG109" i="42" s="1"/>
  <c r="AG108" i="42" s="1"/>
  <c r="AG107" i="42" s="1"/>
  <c r="AG106" i="42" s="1"/>
  <c r="AG105" i="42" s="1"/>
  <c r="AG104" i="42" s="1"/>
  <c r="AG103" i="42" s="1"/>
  <c r="AG102" i="42" s="1"/>
  <c r="AG101" i="42" s="1"/>
  <c r="AG100" i="42" s="1"/>
  <c r="AG99" i="42" s="1"/>
  <c r="AG98" i="42" s="1"/>
  <c r="AG97" i="42" s="1"/>
  <c r="AO124" i="42" s="1"/>
  <c r="AH104" i="44"/>
  <c r="AH103" i="44" s="1"/>
  <c r="AH102" i="44" s="1"/>
  <c r="AH101" i="44" s="1"/>
  <c r="AH100" i="44" s="1"/>
  <c r="AH99" i="44" s="1"/>
  <c r="AH98" i="44" s="1"/>
  <c r="AH97" i="44" s="1"/>
  <c r="AP124" i="44" s="1"/>
  <c r="I493" i="37"/>
  <c r="K493" i="37" s="1"/>
  <c r="K492" i="37" s="1"/>
  <c r="E35" i="37" s="1"/>
  <c r="K478" i="37"/>
  <c r="K477" i="37" s="1"/>
  <c r="E30" i="37" s="1"/>
  <c r="AI120" i="48"/>
  <c r="AI119" i="48" s="1"/>
  <c r="AI118" i="48" s="1"/>
  <c r="AI117" i="48" s="1"/>
  <c r="AI116" i="48" s="1"/>
  <c r="AI115" i="48" s="1"/>
  <c r="AI114" i="48" s="1"/>
  <c r="AI113" i="48" s="1"/>
  <c r="AI112" i="48" s="1"/>
  <c r="AI111" i="48" s="1"/>
  <c r="AI110" i="48" s="1"/>
  <c r="AI109" i="48" s="1"/>
  <c r="AI108" i="48" s="1"/>
  <c r="AI107" i="48" s="1"/>
  <c r="AI106" i="48" s="1"/>
  <c r="AI105" i="48" s="1"/>
  <c r="AI104" i="48" s="1"/>
  <c r="AI103" i="48" s="1"/>
  <c r="AI102" i="48" s="1"/>
  <c r="AI101" i="48" s="1"/>
  <c r="AI100" i="48" s="1"/>
  <c r="AI99" i="48" s="1"/>
  <c r="AI98" i="48" s="1"/>
  <c r="AI97" i="48" s="1"/>
  <c r="AQ124" i="48" s="1"/>
  <c r="M478" i="43"/>
  <c r="AI120" i="40"/>
  <c r="AI119" i="40" s="1"/>
  <c r="AI118" i="40" s="1"/>
  <c r="AI117" i="40" s="1"/>
  <c r="AI116" i="40" s="1"/>
  <c r="AI115" i="40" s="1"/>
  <c r="AI114" i="40" s="1"/>
  <c r="AI113" i="40" s="1"/>
  <c r="AI112" i="40" s="1"/>
  <c r="AI111" i="40" s="1"/>
  <c r="AI110" i="40" s="1"/>
  <c r="AI109" i="40" s="1"/>
  <c r="AI108" i="40" s="1"/>
  <c r="AI107" i="40" s="1"/>
  <c r="AI106" i="40" s="1"/>
  <c r="AI105" i="40" s="1"/>
  <c r="AI104" i="40" s="1"/>
  <c r="AI103" i="40" s="1"/>
  <c r="AI102" i="40" s="1"/>
  <c r="AI101" i="40" s="1"/>
  <c r="AI100" i="40" s="1"/>
  <c r="AI99" i="40" s="1"/>
  <c r="AI98" i="40" s="1"/>
  <c r="AI97" i="40" s="1"/>
  <c r="AQ124" i="40" s="1"/>
  <c r="AG107" i="40"/>
  <c r="AG106" i="40" s="1"/>
  <c r="AG105" i="40" s="1"/>
  <c r="AG104" i="40" s="1"/>
  <c r="AG103" i="40" s="1"/>
  <c r="AG102" i="40" s="1"/>
  <c r="AG101" i="40" s="1"/>
  <c r="AG100" i="40" s="1"/>
  <c r="AG99" i="40" s="1"/>
  <c r="AG98" i="40" s="1"/>
  <c r="AG97" i="40" s="1"/>
  <c r="AO124" i="40" s="1"/>
  <c r="M32" i="43"/>
  <c r="I48" i="43" s="1"/>
  <c r="M32" i="39"/>
  <c r="I48" i="39" s="1"/>
  <c r="N425" i="52"/>
  <c r="O425" i="52" s="1"/>
  <c r="O424" i="52" s="1"/>
  <c r="S414" i="52" s="1"/>
  <c r="I371" i="55"/>
  <c r="P440" i="43"/>
  <c r="P439" i="43" s="1"/>
  <c r="P353" i="48"/>
  <c r="P352" i="48" s="1"/>
  <c r="H425" i="39"/>
  <c r="K423" i="39" s="1"/>
  <c r="P547" i="42"/>
  <c r="P546" i="42" s="1"/>
  <c r="M514" i="46"/>
  <c r="O439" i="43"/>
  <c r="S415" i="43" s="1"/>
  <c r="M425" i="42"/>
  <c r="N425" i="53"/>
  <c r="O425" i="53" s="1"/>
  <c r="O424" i="53" s="1"/>
  <c r="S414" i="53" s="1"/>
  <c r="AL120" i="17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AO124" i="17" s="1"/>
  <c r="AK120" i="17"/>
  <c r="AK119" i="17" s="1"/>
  <c r="AK118" i="17" s="1"/>
  <c r="AK117" i="17" s="1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AR124" i="17" s="1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P124" i="17" s="1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AQ124" i="17" s="1"/>
  <c r="J440" i="17"/>
  <c r="J439" i="17" s="1"/>
  <c r="R415" i="17" s="1"/>
  <c r="H493" i="42"/>
  <c r="I493" i="42"/>
  <c r="J493" i="55"/>
  <c r="J492" i="55" s="1"/>
  <c r="K493" i="55"/>
  <c r="N440" i="50"/>
  <c r="M440" i="50"/>
  <c r="H440" i="17"/>
  <c r="O547" i="53"/>
  <c r="O546" i="53" s="1"/>
  <c r="S522" i="53" s="1"/>
  <c r="AH120" i="55"/>
  <c r="AH119" i="55" s="1"/>
  <c r="AH118" i="55" s="1"/>
  <c r="AH117" i="55" s="1"/>
  <c r="AH116" i="55" s="1"/>
  <c r="AH115" i="55" s="1"/>
  <c r="AH114" i="55" s="1"/>
  <c r="AH113" i="55" s="1"/>
  <c r="AH112" i="55" s="1"/>
  <c r="AH111" i="55" s="1"/>
  <c r="AH110" i="55" s="1"/>
  <c r="AH109" i="55" s="1"/>
  <c r="AH108" i="55" s="1"/>
  <c r="AH107" i="55" s="1"/>
  <c r="AH106" i="55" s="1"/>
  <c r="AH105" i="55" s="1"/>
  <c r="AH104" i="55" s="1"/>
  <c r="AH103" i="55" s="1"/>
  <c r="AH102" i="55" s="1"/>
  <c r="AH101" i="55" s="1"/>
  <c r="AH100" i="55" s="1"/>
  <c r="AH99" i="55" s="1"/>
  <c r="AH98" i="55" s="1"/>
  <c r="AH97" i="55" s="1"/>
  <c r="AP124" i="55" s="1"/>
  <c r="M32" i="53"/>
  <c r="I48" i="53" s="1"/>
  <c r="H460" i="47"/>
  <c r="J406" i="48"/>
  <c r="R413" i="48" s="1"/>
  <c r="J407" i="42"/>
  <c r="J406" i="42" s="1"/>
  <c r="R413" i="42" s="1"/>
  <c r="K459" i="39"/>
  <c r="E25" i="39" s="1"/>
  <c r="I353" i="52"/>
  <c r="J353" i="52" s="1"/>
  <c r="J352" i="52" s="1"/>
  <c r="H493" i="55"/>
  <c r="M493" i="50"/>
  <c r="O459" i="49"/>
  <c r="N425" i="55"/>
  <c r="P425" i="55" s="1"/>
  <c r="O514" i="40"/>
  <c r="O513" i="40" s="1"/>
  <c r="S520" i="40" s="1"/>
  <c r="K547" i="51"/>
  <c r="K546" i="51" s="1"/>
  <c r="J547" i="51"/>
  <c r="J546" i="51" s="1"/>
  <c r="R522" i="51" s="1"/>
  <c r="H478" i="54"/>
  <c r="K476" i="54" s="1"/>
  <c r="I478" i="54"/>
  <c r="N440" i="41"/>
  <c r="M440" i="41"/>
  <c r="K407" i="48"/>
  <c r="K406" i="48" s="1"/>
  <c r="H353" i="40"/>
  <c r="I353" i="40"/>
  <c r="O460" i="48"/>
  <c r="O459" i="48" s="1"/>
  <c r="P460" i="48"/>
  <c r="P459" i="48" s="1"/>
  <c r="E26" i="48" s="1"/>
  <c r="M440" i="46"/>
  <c r="N440" i="46"/>
  <c r="M460" i="17"/>
  <c r="O460" i="17"/>
  <c r="O459" i="17" s="1"/>
  <c r="AG120" i="38"/>
  <c r="AG119" i="38" s="1"/>
  <c r="AG118" i="38" s="1"/>
  <c r="AG117" i="38" s="1"/>
  <c r="AG116" i="38" s="1"/>
  <c r="AG115" i="38" s="1"/>
  <c r="AG114" i="38" s="1"/>
  <c r="AG113" i="38" s="1"/>
  <c r="AG112" i="38" s="1"/>
  <c r="AG111" i="38" s="1"/>
  <c r="AG110" i="38" s="1"/>
  <c r="AG109" i="38" s="1"/>
  <c r="AG108" i="38" s="1"/>
  <c r="AG107" i="38" s="1"/>
  <c r="AG106" i="38" s="1"/>
  <c r="AG105" i="38" s="1"/>
  <c r="AG104" i="38" s="1"/>
  <c r="AG103" i="38" s="1"/>
  <c r="AG102" i="38" s="1"/>
  <c r="AG101" i="38" s="1"/>
  <c r="AG100" i="38" s="1"/>
  <c r="AG99" i="38" s="1"/>
  <c r="AG98" i="38" s="1"/>
  <c r="AG97" i="38" s="1"/>
  <c r="AO124" i="38" s="1"/>
  <c r="AL120" i="55"/>
  <c r="AL119" i="55" s="1"/>
  <c r="AL118" i="55" s="1"/>
  <c r="AL117" i="55" s="1"/>
  <c r="AL116" i="55" s="1"/>
  <c r="AL115" i="55" s="1"/>
  <c r="AL114" i="55" s="1"/>
  <c r="AL113" i="55" s="1"/>
  <c r="AL112" i="55" s="1"/>
  <c r="AL111" i="55" s="1"/>
  <c r="AL110" i="55" s="1"/>
  <c r="AL109" i="55" s="1"/>
  <c r="AL108" i="55" s="1"/>
  <c r="AL107" i="55" s="1"/>
  <c r="AL106" i="55" s="1"/>
  <c r="AL105" i="55" s="1"/>
  <c r="AL104" i="55" s="1"/>
  <c r="AL103" i="55" s="1"/>
  <c r="AL102" i="55" s="1"/>
  <c r="AL101" i="55" s="1"/>
  <c r="AL100" i="55" s="1"/>
  <c r="AL99" i="55" s="1"/>
  <c r="AL98" i="55" s="1"/>
  <c r="AL97" i="55" s="1"/>
  <c r="AT124" i="55" s="1"/>
  <c r="H514" i="54"/>
  <c r="M32" i="51"/>
  <c r="I48" i="51" s="1"/>
  <c r="M32" i="44"/>
  <c r="I48" i="44" s="1"/>
  <c r="AJ120" i="53"/>
  <c r="AJ119" i="53" s="1"/>
  <c r="AJ118" i="53" s="1"/>
  <c r="AJ117" i="53" s="1"/>
  <c r="AJ116" i="53" s="1"/>
  <c r="AJ115" i="53" s="1"/>
  <c r="AJ114" i="53" s="1"/>
  <c r="AJ113" i="53" s="1"/>
  <c r="AJ112" i="53" s="1"/>
  <c r="AJ111" i="53" s="1"/>
  <c r="AJ110" i="53" s="1"/>
  <c r="AJ109" i="53" s="1"/>
  <c r="AJ108" i="53" s="1"/>
  <c r="AJ107" i="53" s="1"/>
  <c r="AJ106" i="53" s="1"/>
  <c r="AJ105" i="53" s="1"/>
  <c r="AJ104" i="53" s="1"/>
  <c r="P406" i="41"/>
  <c r="I514" i="39"/>
  <c r="AK120" i="41"/>
  <c r="AK119" i="41" s="1"/>
  <c r="AK118" i="41" s="1"/>
  <c r="AK117" i="41" s="1"/>
  <c r="AK116" i="41" s="1"/>
  <c r="AK115" i="41" s="1"/>
  <c r="AK114" i="41" s="1"/>
  <c r="AK113" i="41" s="1"/>
  <c r="AK112" i="41" s="1"/>
  <c r="AK111" i="41" s="1"/>
  <c r="AK110" i="41" s="1"/>
  <c r="AK109" i="41" s="1"/>
  <c r="AK108" i="41" s="1"/>
  <c r="AK107" i="41" s="1"/>
  <c r="AK106" i="41" s="1"/>
  <c r="AK105" i="41" s="1"/>
  <c r="AK104" i="41" s="1"/>
  <c r="AK103" i="41" s="1"/>
  <c r="AK102" i="41" s="1"/>
  <c r="AK101" i="41" s="1"/>
  <c r="AK100" i="41" s="1"/>
  <c r="AK99" i="41" s="1"/>
  <c r="AK98" i="41" s="1"/>
  <c r="AK97" i="41" s="1"/>
  <c r="AS124" i="41" s="1"/>
  <c r="AJ120" i="41"/>
  <c r="AJ119" i="41" s="1"/>
  <c r="AJ118" i="41" s="1"/>
  <c r="AJ117" i="41" s="1"/>
  <c r="AJ116" i="41" s="1"/>
  <c r="AJ115" i="41" s="1"/>
  <c r="AJ114" i="41" s="1"/>
  <c r="AJ113" i="41" s="1"/>
  <c r="AJ112" i="41" s="1"/>
  <c r="AJ111" i="41" s="1"/>
  <c r="AJ110" i="41" s="1"/>
  <c r="AJ109" i="41" s="1"/>
  <c r="AJ108" i="41" s="1"/>
  <c r="AJ107" i="41" s="1"/>
  <c r="AJ106" i="41" s="1"/>
  <c r="AJ105" i="41" s="1"/>
  <c r="AJ104" i="41" s="1"/>
  <c r="AJ103" i="41" s="1"/>
  <c r="AJ102" i="41" s="1"/>
  <c r="AJ101" i="41" s="1"/>
  <c r="AJ100" i="41" s="1"/>
  <c r="AJ99" i="41" s="1"/>
  <c r="AJ98" i="41" s="1"/>
  <c r="AJ97" i="41" s="1"/>
  <c r="AR124" i="41" s="1"/>
  <c r="AH120" i="41"/>
  <c r="AH119" i="41" s="1"/>
  <c r="AH118" i="41" s="1"/>
  <c r="AH117" i="41" s="1"/>
  <c r="AH116" i="41" s="1"/>
  <c r="AH115" i="41" s="1"/>
  <c r="AH114" i="41" s="1"/>
  <c r="AH113" i="41" s="1"/>
  <c r="AH112" i="41" s="1"/>
  <c r="AH111" i="41" s="1"/>
  <c r="AH110" i="41" s="1"/>
  <c r="AH109" i="41" s="1"/>
  <c r="AH108" i="41" s="1"/>
  <c r="AH107" i="41" s="1"/>
  <c r="AH106" i="41" s="1"/>
  <c r="AH105" i="41" s="1"/>
  <c r="AH104" i="41" s="1"/>
  <c r="AH103" i="41" s="1"/>
  <c r="AH102" i="41" s="1"/>
  <c r="AH101" i="41" s="1"/>
  <c r="AH100" i="41" s="1"/>
  <c r="AH99" i="41" s="1"/>
  <c r="AH98" i="41" s="1"/>
  <c r="AH97" i="41" s="1"/>
  <c r="AP124" i="41" s="1"/>
  <c r="AG120" i="41"/>
  <c r="AG119" i="41" s="1"/>
  <c r="AG118" i="41" s="1"/>
  <c r="AG117" i="41" s="1"/>
  <c r="AG116" i="41" s="1"/>
  <c r="AG115" i="41" s="1"/>
  <c r="AG114" i="41" s="1"/>
  <c r="AG113" i="41" s="1"/>
  <c r="AG112" i="41" s="1"/>
  <c r="AG111" i="41" s="1"/>
  <c r="AG110" i="41" s="1"/>
  <c r="AG109" i="41" s="1"/>
  <c r="AG108" i="41" s="1"/>
  <c r="AG107" i="41" s="1"/>
  <c r="AG106" i="41" s="1"/>
  <c r="AG105" i="41" s="1"/>
  <c r="AG104" i="41" s="1"/>
  <c r="AG103" i="41" s="1"/>
  <c r="AG102" i="41" s="1"/>
  <c r="AG101" i="41" s="1"/>
  <c r="AG100" i="41" s="1"/>
  <c r="AG99" i="41" s="1"/>
  <c r="AG98" i="41" s="1"/>
  <c r="AG97" i="41" s="1"/>
  <c r="AO124" i="41" s="1"/>
  <c r="AI120" i="41"/>
  <c r="AI119" i="41" s="1"/>
  <c r="AI118" i="41" s="1"/>
  <c r="AI117" i="41" s="1"/>
  <c r="AI116" i="41" s="1"/>
  <c r="AI115" i="41" s="1"/>
  <c r="AI114" i="41" s="1"/>
  <c r="AI113" i="41" s="1"/>
  <c r="AI112" i="41" s="1"/>
  <c r="AI111" i="41" s="1"/>
  <c r="AI110" i="41" s="1"/>
  <c r="AI109" i="41" s="1"/>
  <c r="AI108" i="41" s="1"/>
  <c r="AI107" i="41" s="1"/>
  <c r="AI106" i="41" s="1"/>
  <c r="AI105" i="41" s="1"/>
  <c r="AI104" i="41" s="1"/>
  <c r="AI103" i="41" s="1"/>
  <c r="AI102" i="41" s="1"/>
  <c r="AI101" i="41" s="1"/>
  <c r="AI100" i="41" s="1"/>
  <c r="AI99" i="41" s="1"/>
  <c r="AI98" i="41" s="1"/>
  <c r="AI97" i="41" s="1"/>
  <c r="AQ124" i="41" s="1"/>
  <c r="J547" i="44"/>
  <c r="J546" i="44" s="1"/>
  <c r="R522" i="44" s="1"/>
  <c r="K547" i="44"/>
  <c r="K546" i="44" s="1"/>
  <c r="N514" i="49"/>
  <c r="M514" i="49"/>
  <c r="M478" i="51"/>
  <c r="N493" i="42"/>
  <c r="O493" i="42" s="1"/>
  <c r="O492" i="42" s="1"/>
  <c r="M32" i="48"/>
  <c r="I48" i="48" s="1"/>
  <c r="J424" i="47"/>
  <c r="R414" i="47" s="1"/>
  <c r="N386" i="55"/>
  <c r="P386" i="55" s="1"/>
  <c r="P385" i="55" s="1"/>
  <c r="M371" i="45"/>
  <c r="K530" i="17"/>
  <c r="I547" i="37"/>
  <c r="K547" i="37" s="1"/>
  <c r="K546" i="37" s="1"/>
  <c r="N353" i="52"/>
  <c r="O353" i="52" s="1"/>
  <c r="O352" i="52" s="1"/>
  <c r="I493" i="41"/>
  <c r="J493" i="41" s="1"/>
  <c r="J492" i="41" s="1"/>
  <c r="J546" i="43"/>
  <c r="R522" i="43" s="1"/>
  <c r="N353" i="40"/>
  <c r="O353" i="40" s="1"/>
  <c r="O352" i="40" s="1"/>
  <c r="P425" i="48"/>
  <c r="I425" i="49"/>
  <c r="H425" i="49"/>
  <c r="K423" i="49" s="1"/>
  <c r="M547" i="39"/>
  <c r="M353" i="45"/>
  <c r="N440" i="47"/>
  <c r="H478" i="42"/>
  <c r="K476" i="42" s="1"/>
  <c r="I478" i="42"/>
  <c r="N386" i="43"/>
  <c r="M386" i="43"/>
  <c r="H460" i="45"/>
  <c r="I460" i="45"/>
  <c r="M371" i="53"/>
  <c r="N371" i="53"/>
  <c r="M440" i="40"/>
  <c r="N440" i="40"/>
  <c r="AG103" i="53"/>
  <c r="AG102" i="53" s="1"/>
  <c r="AG101" i="53" s="1"/>
  <c r="AG100" i="53" s="1"/>
  <c r="AG99" i="53" s="1"/>
  <c r="AG98" i="53" s="1"/>
  <c r="AG97" i="53" s="1"/>
  <c r="AO124" i="53" s="1"/>
  <c r="AI120" i="53"/>
  <c r="AI119" i="53" s="1"/>
  <c r="AI118" i="53" s="1"/>
  <c r="AI117" i="53" s="1"/>
  <c r="AI116" i="53" s="1"/>
  <c r="AI115" i="53" s="1"/>
  <c r="AI114" i="53" s="1"/>
  <c r="AI113" i="53" s="1"/>
  <c r="AI112" i="53" s="1"/>
  <c r="AI111" i="53" s="1"/>
  <c r="AI110" i="53" s="1"/>
  <c r="AI109" i="53" s="1"/>
  <c r="AI108" i="53" s="1"/>
  <c r="AI107" i="53" s="1"/>
  <c r="AI106" i="53" s="1"/>
  <c r="AI105" i="53" s="1"/>
  <c r="AI104" i="53" s="1"/>
  <c r="AI103" i="53" s="1"/>
  <c r="AI102" i="53" s="1"/>
  <c r="AI101" i="53" s="1"/>
  <c r="AI100" i="53" s="1"/>
  <c r="AI99" i="53" s="1"/>
  <c r="AI98" i="53" s="1"/>
  <c r="AI97" i="53" s="1"/>
  <c r="AQ124" i="53" s="1"/>
  <c r="N460" i="43"/>
  <c r="M460" i="43"/>
  <c r="I440" i="43"/>
  <c r="H440" i="43"/>
  <c r="I29" i="63"/>
  <c r="AG120" i="55"/>
  <c r="AG119" i="55" s="1"/>
  <c r="AG118" i="55" s="1"/>
  <c r="AG117" i="55" s="1"/>
  <c r="AG116" i="55" s="1"/>
  <c r="AG115" i="55" s="1"/>
  <c r="AG114" i="55" s="1"/>
  <c r="AG113" i="55" s="1"/>
  <c r="AG112" i="55" s="1"/>
  <c r="AG111" i="55" s="1"/>
  <c r="AG110" i="55" s="1"/>
  <c r="AG109" i="55" s="1"/>
  <c r="AG108" i="55" s="1"/>
  <c r="AG107" i="55" s="1"/>
  <c r="AG106" i="55" s="1"/>
  <c r="AG105" i="55" s="1"/>
  <c r="AG104" i="55" s="1"/>
  <c r="AG103" i="55" s="1"/>
  <c r="AG102" i="55" s="1"/>
  <c r="AG101" i="55" s="1"/>
  <c r="AG100" i="55" s="1"/>
  <c r="AL120" i="53"/>
  <c r="AL119" i="53" s="1"/>
  <c r="AL118" i="53" s="1"/>
  <c r="AL117" i="53" s="1"/>
  <c r="AL116" i="53" s="1"/>
  <c r="AL115" i="53" s="1"/>
  <c r="AL114" i="53" s="1"/>
  <c r="AL113" i="53" s="1"/>
  <c r="AL112" i="53" s="1"/>
  <c r="AL111" i="53" s="1"/>
  <c r="AL110" i="53" s="1"/>
  <c r="AL109" i="53" s="1"/>
  <c r="AL108" i="53" s="1"/>
  <c r="AL107" i="53" s="1"/>
  <c r="AL106" i="53" s="1"/>
  <c r="AL105" i="53" s="1"/>
  <c r="AL104" i="53" s="1"/>
  <c r="AL103" i="53" s="1"/>
  <c r="AL102" i="53" s="1"/>
  <c r="AL101" i="53" s="1"/>
  <c r="AL100" i="53" s="1"/>
  <c r="AL99" i="53" s="1"/>
  <c r="AL98" i="53" s="1"/>
  <c r="AL97" i="53" s="1"/>
  <c r="AT124" i="53" s="1"/>
  <c r="N371" i="17"/>
  <c r="O371" i="17" s="1"/>
  <c r="O370" i="17" s="1"/>
  <c r="AJ103" i="53"/>
  <c r="AJ102" i="53" s="1"/>
  <c r="AJ101" i="53" s="1"/>
  <c r="AJ100" i="53" s="1"/>
  <c r="AJ99" i="53" s="1"/>
  <c r="AJ98" i="53" s="1"/>
  <c r="AJ97" i="53" s="1"/>
  <c r="AR124" i="53" s="1"/>
  <c r="J407" i="46"/>
  <c r="J406" i="46" s="1"/>
  <c r="R413" i="46" s="1"/>
  <c r="N407" i="45"/>
  <c r="M407" i="45"/>
  <c r="I440" i="54"/>
  <c r="H440" i="54"/>
  <c r="N425" i="38"/>
  <c r="M32" i="45"/>
  <c r="I48" i="45" s="1"/>
  <c r="AH120" i="38"/>
  <c r="AH119" i="38" s="1"/>
  <c r="AH118" i="38" s="1"/>
  <c r="AH117" i="38" s="1"/>
  <c r="AH116" i="38" s="1"/>
  <c r="AH115" i="38" s="1"/>
  <c r="AH114" i="38" s="1"/>
  <c r="AH113" i="38" s="1"/>
  <c r="AH112" i="38" s="1"/>
  <c r="AH111" i="38" s="1"/>
  <c r="AH110" i="38" s="1"/>
  <c r="AH109" i="38" s="1"/>
  <c r="AH108" i="38" s="1"/>
  <c r="AH107" i="38" s="1"/>
  <c r="AH106" i="38" s="1"/>
  <c r="AH105" i="38" s="1"/>
  <c r="AH104" i="38" s="1"/>
  <c r="AH103" i="38" s="1"/>
  <c r="AH102" i="38" s="1"/>
  <c r="AH101" i="38" s="1"/>
  <c r="AH100" i="38" s="1"/>
  <c r="AH99" i="38" s="1"/>
  <c r="AH98" i="38" s="1"/>
  <c r="AH97" i="38" s="1"/>
  <c r="AP124" i="38" s="1"/>
  <c r="M32" i="47"/>
  <c r="I48" i="47" s="1"/>
  <c r="M532" i="43"/>
  <c r="N532" i="43"/>
  <c r="N353" i="53"/>
  <c r="M353" i="53"/>
  <c r="M547" i="44"/>
  <c r="N547" i="44"/>
  <c r="M532" i="55"/>
  <c r="N532" i="55"/>
  <c r="N353" i="44"/>
  <c r="P353" i="44" s="1"/>
  <c r="P352" i="44" s="1"/>
  <c r="N440" i="55"/>
  <c r="O440" i="55" s="1"/>
  <c r="O439" i="55" s="1"/>
  <c r="S415" i="55" s="1"/>
  <c r="K406" i="41"/>
  <c r="M493" i="51"/>
  <c r="N493" i="51"/>
  <c r="M386" i="40"/>
  <c r="N386" i="40"/>
  <c r="P492" i="53"/>
  <c r="E36" i="53" s="1"/>
  <c r="N386" i="47"/>
  <c r="O386" i="47" s="1"/>
  <c r="O385" i="47" s="1"/>
  <c r="P459" i="17"/>
  <c r="E26" i="17" s="1"/>
  <c r="J546" i="17"/>
  <c r="R522" i="17" s="1"/>
  <c r="AL120" i="54"/>
  <c r="AL119" i="54" s="1"/>
  <c r="AL118" i="54" s="1"/>
  <c r="AL117" i="54" s="1"/>
  <c r="AL116" i="54" s="1"/>
  <c r="AL115" i="54" s="1"/>
  <c r="AL114" i="54" s="1"/>
  <c r="AL113" i="54" s="1"/>
  <c r="AL112" i="54" s="1"/>
  <c r="AL111" i="54" s="1"/>
  <c r="AL110" i="54" s="1"/>
  <c r="AL109" i="54" s="1"/>
  <c r="AL108" i="54" s="1"/>
  <c r="AL107" i="54" s="1"/>
  <c r="AL106" i="54" s="1"/>
  <c r="AL105" i="54" s="1"/>
  <c r="AL104" i="54" s="1"/>
  <c r="AL103" i="54" s="1"/>
  <c r="AL102" i="54" s="1"/>
  <c r="AL101" i="54" s="1"/>
  <c r="AL100" i="54" s="1"/>
  <c r="AL99" i="54" s="1"/>
  <c r="AL98" i="54" s="1"/>
  <c r="AL97" i="54" s="1"/>
  <c r="AT124" i="54" s="1"/>
  <c r="I514" i="47"/>
  <c r="J514" i="47" s="1"/>
  <c r="J513" i="47" s="1"/>
  <c r="R520" i="47" s="1"/>
  <c r="P352" i="43"/>
  <c r="N493" i="44"/>
  <c r="O493" i="44" s="1"/>
  <c r="O492" i="44" s="1"/>
  <c r="I371" i="51"/>
  <c r="H371" i="51"/>
  <c r="K369" i="51" s="1"/>
  <c r="M532" i="50"/>
  <c r="N532" i="50"/>
  <c r="N386" i="46"/>
  <c r="M386" i="46"/>
  <c r="K460" i="47"/>
  <c r="K459" i="47" s="1"/>
  <c r="E25" i="47" s="1"/>
  <c r="J460" i="47"/>
  <c r="J459" i="47" s="1"/>
  <c r="P385" i="48"/>
  <c r="M425" i="41"/>
  <c r="P386" i="51"/>
  <c r="P385" i="51" s="1"/>
  <c r="AI120" i="43"/>
  <c r="AI119" i="43" s="1"/>
  <c r="AI118" i="43" s="1"/>
  <c r="AI117" i="43" s="1"/>
  <c r="AI116" i="43" s="1"/>
  <c r="AI115" i="43" s="1"/>
  <c r="AI114" i="43" s="1"/>
  <c r="AI113" i="43" s="1"/>
  <c r="AI112" i="43" s="1"/>
  <c r="AI111" i="43" s="1"/>
  <c r="AI110" i="43" s="1"/>
  <c r="AI109" i="43" s="1"/>
  <c r="AI108" i="43" s="1"/>
  <c r="AI107" i="43" s="1"/>
  <c r="AI106" i="43" s="1"/>
  <c r="AI105" i="43" s="1"/>
  <c r="AI104" i="43" s="1"/>
  <c r="AI103" i="43" s="1"/>
  <c r="AI102" i="43" s="1"/>
  <c r="AI101" i="43" s="1"/>
  <c r="AI100" i="43" s="1"/>
  <c r="AI99" i="43" s="1"/>
  <c r="AI98" i="43" s="1"/>
  <c r="AI97" i="43" s="1"/>
  <c r="AQ124" i="43" s="1"/>
  <c r="AK120" i="54"/>
  <c r="AK119" i="54" s="1"/>
  <c r="AK118" i="54" s="1"/>
  <c r="AK117" i="54" s="1"/>
  <c r="AK116" i="54" s="1"/>
  <c r="AK115" i="54" s="1"/>
  <c r="AK114" i="54" s="1"/>
  <c r="AK113" i="54" s="1"/>
  <c r="AK112" i="54" s="1"/>
  <c r="AK111" i="54" s="1"/>
  <c r="AK110" i="54" s="1"/>
  <c r="AK109" i="54" s="1"/>
  <c r="AK108" i="54" s="1"/>
  <c r="AK107" i="54" s="1"/>
  <c r="AK106" i="54" s="1"/>
  <c r="AK105" i="54" s="1"/>
  <c r="AK104" i="54" s="1"/>
  <c r="AK103" i="54" s="1"/>
  <c r="AK102" i="54" s="1"/>
  <c r="AK101" i="54" s="1"/>
  <c r="AK100" i="54" s="1"/>
  <c r="AK99" i="54" s="1"/>
  <c r="AK98" i="54" s="1"/>
  <c r="AK97" i="54" s="1"/>
  <c r="AS124" i="54" s="1"/>
  <c r="H460" i="55"/>
  <c r="I460" i="55"/>
  <c r="O371" i="49"/>
  <c r="O370" i="49" s="1"/>
  <c r="P371" i="49"/>
  <c r="AL120" i="38"/>
  <c r="AL119" i="38" s="1"/>
  <c r="AL118" i="38" s="1"/>
  <c r="AL117" i="38" s="1"/>
  <c r="AL116" i="38" s="1"/>
  <c r="AL115" i="38" s="1"/>
  <c r="AL114" i="38" s="1"/>
  <c r="AL113" i="38" s="1"/>
  <c r="AL112" i="38" s="1"/>
  <c r="AL111" i="38" s="1"/>
  <c r="AL110" i="38" s="1"/>
  <c r="AL109" i="38" s="1"/>
  <c r="AL108" i="38" s="1"/>
  <c r="AL107" i="38" s="1"/>
  <c r="AL106" i="38" s="1"/>
  <c r="AL105" i="38" s="1"/>
  <c r="AL104" i="38" s="1"/>
  <c r="AL103" i="38" s="1"/>
  <c r="AL102" i="38" s="1"/>
  <c r="AL101" i="38" s="1"/>
  <c r="AL100" i="38" s="1"/>
  <c r="AL99" i="38" s="1"/>
  <c r="AL98" i="38" s="1"/>
  <c r="AL97" i="38" s="1"/>
  <c r="AT124" i="38" s="1"/>
  <c r="C40" i="47"/>
  <c r="M31" i="47" s="1"/>
  <c r="C48" i="47" s="1"/>
  <c r="M460" i="55"/>
  <c r="N460" i="55"/>
  <c r="AK120" i="38"/>
  <c r="AK119" i="38" s="1"/>
  <c r="AK118" i="38" s="1"/>
  <c r="AK117" i="38" s="1"/>
  <c r="AK116" i="38" s="1"/>
  <c r="AK115" i="38" s="1"/>
  <c r="AK114" i="38" s="1"/>
  <c r="AK113" i="38" s="1"/>
  <c r="AK112" i="38" s="1"/>
  <c r="AK111" i="38" s="1"/>
  <c r="AK110" i="38" s="1"/>
  <c r="AK109" i="38" s="1"/>
  <c r="AK108" i="38" s="1"/>
  <c r="AK107" i="38" s="1"/>
  <c r="AK106" i="38" s="1"/>
  <c r="AK105" i="38" s="1"/>
  <c r="AK104" i="38" s="1"/>
  <c r="AK103" i="38" s="1"/>
  <c r="AK102" i="38" s="1"/>
  <c r="AK101" i="38" s="1"/>
  <c r="AK100" i="38" s="1"/>
  <c r="AK99" i="38" s="1"/>
  <c r="AK98" i="38" s="1"/>
  <c r="AK97" i="38" s="1"/>
  <c r="AS124" i="38" s="1"/>
  <c r="M493" i="40"/>
  <c r="N493" i="40"/>
  <c r="I386" i="41"/>
  <c r="H386" i="41"/>
  <c r="H478" i="48"/>
  <c r="K476" i="48" s="1"/>
  <c r="I478" i="48"/>
  <c r="M32" i="42"/>
  <c r="I48" i="42" s="1"/>
  <c r="AJ120" i="54"/>
  <c r="AJ119" i="54" s="1"/>
  <c r="AJ118" i="54" s="1"/>
  <c r="AJ117" i="54" s="1"/>
  <c r="AJ116" i="54" s="1"/>
  <c r="AJ115" i="54" s="1"/>
  <c r="AJ114" i="54" s="1"/>
  <c r="AJ113" i="54" s="1"/>
  <c r="AJ112" i="54" s="1"/>
  <c r="AJ111" i="54" s="1"/>
  <c r="AJ110" i="54" s="1"/>
  <c r="AJ109" i="54" s="1"/>
  <c r="AJ108" i="54" s="1"/>
  <c r="AJ107" i="54" s="1"/>
  <c r="AJ106" i="54" s="1"/>
  <c r="AJ105" i="54" s="1"/>
  <c r="AJ104" i="54" s="1"/>
  <c r="AJ103" i="54" s="1"/>
  <c r="AJ102" i="54" s="1"/>
  <c r="AJ101" i="54" s="1"/>
  <c r="AJ100" i="54" s="1"/>
  <c r="AJ99" i="54" s="1"/>
  <c r="AJ98" i="54" s="1"/>
  <c r="AJ97" i="54" s="1"/>
  <c r="AR124" i="54" s="1"/>
  <c r="AG120" i="54"/>
  <c r="AG119" i="54" s="1"/>
  <c r="AG118" i="54" s="1"/>
  <c r="AG117" i="54" s="1"/>
  <c r="AG116" i="54" s="1"/>
  <c r="AG115" i="54" s="1"/>
  <c r="AG114" i="54" s="1"/>
  <c r="AG113" i="54" s="1"/>
  <c r="AG112" i="54" s="1"/>
  <c r="AG111" i="54" s="1"/>
  <c r="AG110" i="54" s="1"/>
  <c r="AG109" i="54" s="1"/>
  <c r="AG108" i="54" s="1"/>
  <c r="AG107" i="54" s="1"/>
  <c r="AG106" i="54" s="1"/>
  <c r="AG105" i="54" s="1"/>
  <c r="AG104" i="54" s="1"/>
  <c r="AG103" i="54" s="1"/>
  <c r="AG102" i="54" s="1"/>
  <c r="AG101" i="54" s="1"/>
  <c r="AG100" i="54" s="1"/>
  <c r="AG99" i="54" s="1"/>
  <c r="AG98" i="54" s="1"/>
  <c r="AG97" i="54" s="1"/>
  <c r="AO124" i="54" s="1"/>
  <c r="AI120" i="54"/>
  <c r="AI119" i="54" s="1"/>
  <c r="AI118" i="54" s="1"/>
  <c r="AI117" i="54" s="1"/>
  <c r="AI116" i="54" s="1"/>
  <c r="AI115" i="54" s="1"/>
  <c r="AI114" i="54" s="1"/>
  <c r="AI113" i="54" s="1"/>
  <c r="AI112" i="54" s="1"/>
  <c r="AI111" i="54" s="1"/>
  <c r="AI110" i="54" s="1"/>
  <c r="AI109" i="54" s="1"/>
  <c r="AI108" i="54" s="1"/>
  <c r="AI107" i="54" s="1"/>
  <c r="AI106" i="54" s="1"/>
  <c r="AI105" i="54" s="1"/>
  <c r="AI104" i="54" s="1"/>
  <c r="AI103" i="54" s="1"/>
  <c r="AI102" i="54" s="1"/>
  <c r="AI101" i="54" s="1"/>
  <c r="AI100" i="54" s="1"/>
  <c r="AI99" i="54" s="1"/>
  <c r="AI98" i="54" s="1"/>
  <c r="AI97" i="54" s="1"/>
  <c r="AQ124" i="54" s="1"/>
  <c r="I532" i="51"/>
  <c r="H532" i="51"/>
  <c r="K530" i="51" s="1"/>
  <c r="AJ120" i="38"/>
  <c r="AJ119" i="38" s="1"/>
  <c r="AJ118" i="38" s="1"/>
  <c r="AJ117" i="38" s="1"/>
  <c r="AJ116" i="38" s="1"/>
  <c r="AJ115" i="38" s="1"/>
  <c r="AJ114" i="38" s="1"/>
  <c r="AJ113" i="38" s="1"/>
  <c r="AJ112" i="38" s="1"/>
  <c r="AJ111" i="38" s="1"/>
  <c r="AJ110" i="38" s="1"/>
  <c r="AJ109" i="38" s="1"/>
  <c r="AJ108" i="38" s="1"/>
  <c r="AJ107" i="38" s="1"/>
  <c r="AJ106" i="38" s="1"/>
  <c r="AJ105" i="38" s="1"/>
  <c r="AJ104" i="38" s="1"/>
  <c r="AJ103" i="38" s="1"/>
  <c r="AJ102" i="38" s="1"/>
  <c r="AJ101" i="38" s="1"/>
  <c r="AJ100" i="38" s="1"/>
  <c r="AJ99" i="38" s="1"/>
  <c r="AJ98" i="38" s="1"/>
  <c r="AJ97" i="38" s="1"/>
  <c r="AR124" i="38" s="1"/>
  <c r="AL120" i="43"/>
  <c r="AL119" i="43" s="1"/>
  <c r="AL118" i="43" s="1"/>
  <c r="AL117" i="43" s="1"/>
  <c r="AL116" i="43" s="1"/>
  <c r="AL115" i="43" s="1"/>
  <c r="AL114" i="43" s="1"/>
  <c r="AL113" i="43" s="1"/>
  <c r="AL112" i="43" s="1"/>
  <c r="AL111" i="43" s="1"/>
  <c r="AL110" i="43" s="1"/>
  <c r="AL109" i="43" s="1"/>
  <c r="AL108" i="43" s="1"/>
  <c r="AL107" i="43" s="1"/>
  <c r="AL106" i="43" s="1"/>
  <c r="AL105" i="43" s="1"/>
  <c r="AL104" i="43" s="1"/>
  <c r="AL103" i="43" s="1"/>
  <c r="AL102" i="43" s="1"/>
  <c r="AL101" i="43" s="1"/>
  <c r="AL100" i="43" s="1"/>
  <c r="AL99" i="43" s="1"/>
  <c r="AL98" i="43" s="1"/>
  <c r="AL97" i="43" s="1"/>
  <c r="AT124" i="43" s="1"/>
  <c r="I425" i="52"/>
  <c r="J425" i="52" s="1"/>
  <c r="J424" i="52" s="1"/>
  <c r="R414" i="52" s="1"/>
  <c r="J477" i="38"/>
  <c r="P439" i="38"/>
  <c r="AI119" i="38"/>
  <c r="AI118" i="38" s="1"/>
  <c r="AI117" i="38" s="1"/>
  <c r="AI116" i="38" s="1"/>
  <c r="AI115" i="38" s="1"/>
  <c r="AI114" i="38" s="1"/>
  <c r="AI113" i="38" s="1"/>
  <c r="AI112" i="38" s="1"/>
  <c r="AI111" i="38" s="1"/>
  <c r="AI110" i="38" s="1"/>
  <c r="AI109" i="38" s="1"/>
  <c r="AI108" i="38" s="1"/>
  <c r="AI107" i="38" s="1"/>
  <c r="AI106" i="38" s="1"/>
  <c r="AI105" i="38" s="1"/>
  <c r="AI104" i="38" s="1"/>
  <c r="AI103" i="38" s="1"/>
  <c r="AI102" i="38" s="1"/>
  <c r="AI101" i="38" s="1"/>
  <c r="AI100" i="38" s="1"/>
  <c r="AI99" i="38" s="1"/>
  <c r="AI98" i="38" s="1"/>
  <c r="AI97" i="38" s="1"/>
  <c r="AQ124" i="38" s="1"/>
  <c r="AJ120" i="43"/>
  <c r="AJ119" i="43" s="1"/>
  <c r="AJ118" i="43" s="1"/>
  <c r="AJ117" i="43" s="1"/>
  <c r="AJ116" i="43" s="1"/>
  <c r="AJ115" i="43" s="1"/>
  <c r="AJ114" i="43" s="1"/>
  <c r="AJ113" i="43" s="1"/>
  <c r="AJ112" i="43" s="1"/>
  <c r="AJ111" i="43" s="1"/>
  <c r="AJ110" i="43" s="1"/>
  <c r="AJ109" i="43" s="1"/>
  <c r="AJ108" i="43" s="1"/>
  <c r="AJ107" i="43" s="1"/>
  <c r="AJ106" i="43" s="1"/>
  <c r="AJ105" i="43" s="1"/>
  <c r="AJ104" i="43" s="1"/>
  <c r="AJ103" i="43" s="1"/>
  <c r="AJ102" i="43" s="1"/>
  <c r="AJ101" i="43" s="1"/>
  <c r="AJ100" i="43" s="1"/>
  <c r="AJ99" i="43" s="1"/>
  <c r="AJ98" i="43" s="1"/>
  <c r="AJ97" i="43" s="1"/>
  <c r="AR124" i="43" s="1"/>
  <c r="J492" i="50"/>
  <c r="J352" i="38"/>
  <c r="K531" i="37"/>
  <c r="K514" i="42"/>
  <c r="K513" i="42" s="1"/>
  <c r="P513" i="55"/>
  <c r="H532" i="55"/>
  <c r="K530" i="55" s="1"/>
  <c r="I532" i="55"/>
  <c r="J546" i="54"/>
  <c r="R522" i="54" s="1"/>
  <c r="N532" i="46"/>
  <c r="M532" i="46"/>
  <c r="H532" i="45"/>
  <c r="K530" i="45" s="1"/>
  <c r="O546" i="45"/>
  <c r="S522" i="45" s="1"/>
  <c r="P546" i="45"/>
  <c r="N514" i="43"/>
  <c r="M514" i="43"/>
  <c r="K547" i="41"/>
  <c r="K546" i="41" s="1"/>
  <c r="J547" i="41"/>
  <c r="J546" i="41" s="1"/>
  <c r="R522" i="41" s="1"/>
  <c r="N532" i="40"/>
  <c r="P532" i="40" s="1"/>
  <c r="H547" i="38"/>
  <c r="I547" i="38"/>
  <c r="O547" i="37"/>
  <c r="O546" i="37" s="1"/>
  <c r="S522" i="37" s="1"/>
  <c r="I493" i="49"/>
  <c r="H493" i="49"/>
  <c r="M478" i="53"/>
  <c r="N478" i="53"/>
  <c r="O478" i="37"/>
  <c r="O477" i="37" s="1"/>
  <c r="C31" i="37" s="1"/>
  <c r="H478" i="17"/>
  <c r="K476" i="17" s="1"/>
  <c r="I460" i="46"/>
  <c r="H460" i="46"/>
  <c r="H460" i="40"/>
  <c r="I460" i="40"/>
  <c r="K459" i="38"/>
  <c r="E25" i="38" s="1"/>
  <c r="J406" i="39"/>
  <c r="R413" i="39" s="1"/>
  <c r="K407" i="39"/>
  <c r="K406" i="39" s="1"/>
  <c r="I407" i="40"/>
  <c r="H407" i="40"/>
  <c r="O353" i="38"/>
  <c r="O352" i="38" s="1"/>
  <c r="S359" i="38" s="1"/>
  <c r="H371" i="37"/>
  <c r="K369" i="37" s="1"/>
  <c r="K370" i="37" s="1"/>
  <c r="J493" i="43"/>
  <c r="J492" i="43" s="1"/>
  <c r="K493" i="43"/>
  <c r="K492" i="43" s="1"/>
  <c r="E35" i="43" s="1"/>
  <c r="AL120" i="39"/>
  <c r="AL119" i="39" s="1"/>
  <c r="AL118" i="39" s="1"/>
  <c r="AL117" i="39" s="1"/>
  <c r="AL116" i="39" s="1"/>
  <c r="AL115" i="39" s="1"/>
  <c r="AL114" i="39" s="1"/>
  <c r="AL113" i="39" s="1"/>
  <c r="AL112" i="39" s="1"/>
  <c r="AL111" i="39" s="1"/>
  <c r="AL110" i="39" s="1"/>
  <c r="AL109" i="39" s="1"/>
  <c r="AL108" i="39" s="1"/>
  <c r="AL107" i="39" s="1"/>
  <c r="AL106" i="39" s="1"/>
  <c r="AL105" i="39" s="1"/>
  <c r="AL104" i="39" s="1"/>
  <c r="AL103" i="39" s="1"/>
  <c r="AL102" i="39" s="1"/>
  <c r="AL101" i="39" s="1"/>
  <c r="AL100" i="39" s="1"/>
  <c r="AL99" i="39" s="1"/>
  <c r="AL98" i="39" s="1"/>
  <c r="AL97" i="39" s="1"/>
  <c r="AT124" i="39" s="1"/>
  <c r="I478" i="50"/>
  <c r="J478" i="50" s="1"/>
  <c r="J477" i="50" s="1"/>
  <c r="AI120" i="39"/>
  <c r="AI119" i="39" s="1"/>
  <c r="AI118" i="39" s="1"/>
  <c r="AI117" i="39" s="1"/>
  <c r="AI116" i="39" s="1"/>
  <c r="AI115" i="39" s="1"/>
  <c r="AI114" i="39" s="1"/>
  <c r="AI113" i="39" s="1"/>
  <c r="AI112" i="39" s="1"/>
  <c r="AI111" i="39" s="1"/>
  <c r="AI110" i="39" s="1"/>
  <c r="AI109" i="39" s="1"/>
  <c r="AI108" i="39" s="1"/>
  <c r="O407" i="41"/>
  <c r="O406" i="41" s="1"/>
  <c r="S413" i="41" s="1"/>
  <c r="I371" i="50"/>
  <c r="H371" i="50"/>
  <c r="K369" i="50" s="1"/>
  <c r="I353" i="53"/>
  <c r="H353" i="53"/>
  <c r="H371" i="46"/>
  <c r="K369" i="46" s="1"/>
  <c r="I371" i="46"/>
  <c r="M407" i="51"/>
  <c r="N407" i="51"/>
  <c r="P493" i="50"/>
  <c r="P492" i="50" s="1"/>
  <c r="E36" i="50" s="1"/>
  <c r="O493" i="50"/>
  <c r="O492" i="50" s="1"/>
  <c r="J424" i="17"/>
  <c r="R414" i="17" s="1"/>
  <c r="I407" i="38"/>
  <c r="H407" i="38"/>
  <c r="N353" i="54"/>
  <c r="M353" i="54"/>
  <c r="K513" i="55"/>
  <c r="P460" i="49"/>
  <c r="P459" i="49" s="1"/>
  <c r="E26" i="49" s="1"/>
  <c r="N386" i="17"/>
  <c r="P386" i="17" s="1"/>
  <c r="P385" i="17" s="1"/>
  <c r="H532" i="48"/>
  <c r="K530" i="48" s="1"/>
  <c r="I532" i="48"/>
  <c r="I440" i="55"/>
  <c r="H440" i="55"/>
  <c r="N514" i="47"/>
  <c r="M514" i="47"/>
  <c r="M478" i="40"/>
  <c r="N478" i="40"/>
  <c r="M425" i="39"/>
  <c r="N425" i="39"/>
  <c r="M407" i="46"/>
  <c r="N407" i="46"/>
  <c r="K352" i="47"/>
  <c r="I493" i="39"/>
  <c r="H493" i="39"/>
  <c r="M407" i="17"/>
  <c r="N407" i="17"/>
  <c r="I386" i="50"/>
  <c r="H386" i="50"/>
  <c r="M460" i="46"/>
  <c r="N460" i="46"/>
  <c r="N425" i="17"/>
  <c r="M425" i="17"/>
  <c r="AK120" i="39"/>
  <c r="AK119" i="39" s="1"/>
  <c r="AK118" i="39" s="1"/>
  <c r="AK117" i="39" s="1"/>
  <c r="AK116" i="39" s="1"/>
  <c r="AK115" i="39" s="1"/>
  <c r="AK114" i="39" s="1"/>
  <c r="AK113" i="39" s="1"/>
  <c r="AK112" i="39" s="1"/>
  <c r="AK111" i="39" s="1"/>
  <c r="AK110" i="39" s="1"/>
  <c r="AK109" i="39" s="1"/>
  <c r="AK108" i="39" s="1"/>
  <c r="O370" i="52"/>
  <c r="P370" i="52" s="1"/>
  <c r="H371" i="42"/>
  <c r="K369" i="42" s="1"/>
  <c r="I371" i="42"/>
  <c r="H460" i="48"/>
  <c r="I460" i="48"/>
  <c r="I407" i="54"/>
  <c r="H407" i="54"/>
  <c r="AL120" i="42"/>
  <c r="AL119" i="42" s="1"/>
  <c r="AL118" i="42" s="1"/>
  <c r="AL117" i="42" s="1"/>
  <c r="AL116" i="42" s="1"/>
  <c r="AL115" i="42" s="1"/>
  <c r="AL114" i="42" s="1"/>
  <c r="AL113" i="42" s="1"/>
  <c r="AL112" i="42" s="1"/>
  <c r="AL111" i="42" s="1"/>
  <c r="AL110" i="42" s="1"/>
  <c r="AL109" i="42" s="1"/>
  <c r="AL108" i="42" s="1"/>
  <c r="AL107" i="42" s="1"/>
  <c r="AL106" i="42" s="1"/>
  <c r="AL105" i="42" s="1"/>
  <c r="AL104" i="42" s="1"/>
  <c r="AL103" i="42" s="1"/>
  <c r="AL102" i="42" s="1"/>
  <c r="AL101" i="42" s="1"/>
  <c r="AL100" i="42" s="1"/>
  <c r="AL99" i="42" s="1"/>
  <c r="AL98" i="42" s="1"/>
  <c r="AL97" i="42" s="1"/>
  <c r="AT124" i="42" s="1"/>
  <c r="AJ120" i="42"/>
  <c r="AJ119" i="42" s="1"/>
  <c r="AJ118" i="42" s="1"/>
  <c r="AJ117" i="42" s="1"/>
  <c r="AJ116" i="42" s="1"/>
  <c r="AJ115" i="42" s="1"/>
  <c r="AJ114" i="42" s="1"/>
  <c r="AJ113" i="42" s="1"/>
  <c r="AJ112" i="42" s="1"/>
  <c r="AJ111" i="42" s="1"/>
  <c r="AJ110" i="42" s="1"/>
  <c r="AJ109" i="42" s="1"/>
  <c r="AJ108" i="42" s="1"/>
  <c r="AJ107" i="42" s="1"/>
  <c r="AJ106" i="42" s="1"/>
  <c r="AJ105" i="42" s="1"/>
  <c r="AJ104" i="42" s="1"/>
  <c r="AJ103" i="42" s="1"/>
  <c r="AJ102" i="42" s="1"/>
  <c r="AJ101" i="42" s="1"/>
  <c r="AJ100" i="42" s="1"/>
  <c r="AJ99" i="42" s="1"/>
  <c r="AJ98" i="42" s="1"/>
  <c r="AJ97" i="42" s="1"/>
  <c r="AR124" i="42" s="1"/>
  <c r="AI120" i="42"/>
  <c r="AI119" i="42" s="1"/>
  <c r="AI118" i="42" s="1"/>
  <c r="AI117" i="42" s="1"/>
  <c r="AI116" i="42" s="1"/>
  <c r="AI115" i="42" s="1"/>
  <c r="AI114" i="42" s="1"/>
  <c r="AI113" i="42" s="1"/>
  <c r="AI112" i="42" s="1"/>
  <c r="AI111" i="42" s="1"/>
  <c r="AI110" i="42" s="1"/>
  <c r="AI109" i="42" s="1"/>
  <c r="AI108" i="42" s="1"/>
  <c r="AI107" i="42" s="1"/>
  <c r="AI106" i="42" s="1"/>
  <c r="AI105" i="42" s="1"/>
  <c r="AI104" i="42" s="1"/>
  <c r="AI103" i="42" s="1"/>
  <c r="AI102" i="42" s="1"/>
  <c r="AI101" i="42" s="1"/>
  <c r="AI100" i="42" s="1"/>
  <c r="AI99" i="42" s="1"/>
  <c r="AI98" i="42" s="1"/>
  <c r="AI97" i="42" s="1"/>
  <c r="AQ124" i="42" s="1"/>
  <c r="AK105" i="42"/>
  <c r="AK104" i="42" s="1"/>
  <c r="AK103" i="42" s="1"/>
  <c r="AK102" i="42" s="1"/>
  <c r="AK101" i="42" s="1"/>
  <c r="AK100" i="42" s="1"/>
  <c r="AK99" i="42" s="1"/>
  <c r="AK98" i="42" s="1"/>
  <c r="AK97" i="42" s="1"/>
  <c r="AS124" i="42" s="1"/>
  <c r="M353" i="50"/>
  <c r="N353" i="50"/>
  <c r="N478" i="49"/>
  <c r="M478" i="49"/>
  <c r="M386" i="45"/>
  <c r="N386" i="45"/>
  <c r="J352" i="47"/>
  <c r="P407" i="52"/>
  <c r="P406" i="52" s="1"/>
  <c r="O407" i="52"/>
  <c r="O406" i="52" s="1"/>
  <c r="S413" i="52" s="1"/>
  <c r="O547" i="43"/>
  <c r="O546" i="43" s="1"/>
  <c r="S522" i="43" s="1"/>
  <c r="P547" i="43"/>
  <c r="P546" i="43" s="1"/>
  <c r="J371" i="53"/>
  <c r="J370" i="53" s="1"/>
  <c r="K371" i="53"/>
  <c r="K370" i="53" s="1"/>
  <c r="M407" i="43"/>
  <c r="N407" i="43"/>
  <c r="AK120" i="43"/>
  <c r="AK119" i="43" s="1"/>
  <c r="AK118" i="43" s="1"/>
  <c r="AK117" i="43" s="1"/>
  <c r="AK116" i="43" s="1"/>
  <c r="AK115" i="43" s="1"/>
  <c r="AK114" i="43" s="1"/>
  <c r="AK113" i="43" s="1"/>
  <c r="AK112" i="43" s="1"/>
  <c r="AK111" i="43" s="1"/>
  <c r="AK110" i="43" s="1"/>
  <c r="AK109" i="43" s="1"/>
  <c r="AK108" i="43" s="1"/>
  <c r="AK107" i="43" s="1"/>
  <c r="AK106" i="43" s="1"/>
  <c r="AK105" i="43" s="1"/>
  <c r="AK104" i="43" s="1"/>
  <c r="AK103" i="43" s="1"/>
  <c r="AK102" i="43" s="1"/>
  <c r="AK101" i="43" s="1"/>
  <c r="AK100" i="43" s="1"/>
  <c r="AK99" i="43" s="1"/>
  <c r="AK98" i="43" s="1"/>
  <c r="AK97" i="43" s="1"/>
  <c r="AS124" i="43" s="1"/>
  <c r="AH120" i="43"/>
  <c r="AH119" i="43" s="1"/>
  <c r="AH118" i="43" s="1"/>
  <c r="AH117" i="43" s="1"/>
  <c r="AH116" i="43" s="1"/>
  <c r="AH115" i="43" s="1"/>
  <c r="AH114" i="43" s="1"/>
  <c r="AH113" i="43" s="1"/>
  <c r="AH112" i="43" s="1"/>
  <c r="AH111" i="43" s="1"/>
  <c r="AH110" i="43" s="1"/>
  <c r="AH109" i="43" s="1"/>
  <c r="AH108" i="43" s="1"/>
  <c r="AH107" i="43" s="1"/>
  <c r="AH106" i="43" s="1"/>
  <c r="AH105" i="43" s="1"/>
  <c r="AH104" i="43" s="1"/>
  <c r="AH103" i="43" s="1"/>
  <c r="AH102" i="43" s="1"/>
  <c r="AH101" i="43" s="1"/>
  <c r="AH100" i="43" s="1"/>
  <c r="AH99" i="43" s="1"/>
  <c r="AH98" i="43" s="1"/>
  <c r="AH97" i="43" s="1"/>
  <c r="AP124" i="43" s="1"/>
  <c r="H493" i="43"/>
  <c r="H440" i="52"/>
  <c r="I440" i="52"/>
  <c r="N460" i="51"/>
  <c r="M460" i="51"/>
  <c r="N532" i="49"/>
  <c r="M532" i="49"/>
  <c r="I440" i="50"/>
  <c r="H440" i="50"/>
  <c r="H425" i="42"/>
  <c r="K423" i="42" s="1"/>
  <c r="I425" i="42"/>
  <c r="M514" i="51"/>
  <c r="N514" i="51"/>
  <c r="K532" i="39"/>
  <c r="J532" i="39"/>
  <c r="J531" i="39" s="1"/>
  <c r="R521" i="39" s="1"/>
  <c r="H353" i="54"/>
  <c r="I353" i="54"/>
  <c r="M407" i="53"/>
  <c r="N407" i="53"/>
  <c r="M460" i="45"/>
  <c r="N460" i="45"/>
  <c r="I514" i="43"/>
  <c r="H514" i="43"/>
  <c r="H440" i="47"/>
  <c r="I440" i="47"/>
  <c r="J478" i="43"/>
  <c r="J477" i="43" s="1"/>
  <c r="K478" i="43"/>
  <c r="K477" i="43" s="1"/>
  <c r="E30" i="43" s="1"/>
  <c r="O492" i="53"/>
  <c r="M353" i="55"/>
  <c r="N353" i="55"/>
  <c r="I493" i="53"/>
  <c r="H493" i="53"/>
  <c r="M493" i="52"/>
  <c r="N493" i="52"/>
  <c r="I440" i="39"/>
  <c r="H440" i="39"/>
  <c r="K371" i="43"/>
  <c r="K370" i="43" s="1"/>
  <c r="J371" i="43"/>
  <c r="J370" i="43" s="1"/>
  <c r="M371" i="39"/>
  <c r="N371" i="39"/>
  <c r="H493" i="44"/>
  <c r="I493" i="44"/>
  <c r="K514" i="51"/>
  <c r="K513" i="51" s="1"/>
  <c r="J514" i="51"/>
  <c r="J513" i="51" s="1"/>
  <c r="R520" i="51" s="1"/>
  <c r="AJ120" i="39"/>
  <c r="AJ119" i="39" s="1"/>
  <c r="AJ118" i="39" s="1"/>
  <c r="AJ117" i="39" s="1"/>
  <c r="AJ116" i="39" s="1"/>
  <c r="AJ115" i="39" s="1"/>
  <c r="AJ114" i="39" s="1"/>
  <c r="AJ113" i="39" s="1"/>
  <c r="AJ112" i="39" s="1"/>
  <c r="AJ111" i="39" s="1"/>
  <c r="AJ110" i="39" s="1"/>
  <c r="AJ109" i="39" s="1"/>
  <c r="AJ108" i="39" s="1"/>
  <c r="AJ107" i="39" s="1"/>
  <c r="AJ106" i="39" s="1"/>
  <c r="AJ105" i="39" s="1"/>
  <c r="AJ104" i="39" s="1"/>
  <c r="AJ103" i="39" s="1"/>
  <c r="AJ102" i="39" s="1"/>
  <c r="AJ101" i="39" s="1"/>
  <c r="AJ100" i="39" s="1"/>
  <c r="AJ99" i="39" s="1"/>
  <c r="AJ98" i="39" s="1"/>
  <c r="AJ97" i="39" s="1"/>
  <c r="AR124" i="39" s="1"/>
  <c r="N493" i="54"/>
  <c r="M493" i="54"/>
  <c r="I440" i="53"/>
  <c r="H440" i="53"/>
  <c r="N407" i="48"/>
  <c r="M407" i="48"/>
  <c r="N514" i="45"/>
  <c r="M514" i="45"/>
  <c r="M547" i="40"/>
  <c r="N547" i="40"/>
  <c r="M407" i="40"/>
  <c r="N407" i="40"/>
  <c r="I353" i="49"/>
  <c r="H353" i="49"/>
  <c r="I425" i="50"/>
  <c r="H425" i="50"/>
  <c r="K423" i="50" s="1"/>
  <c r="K353" i="42"/>
  <c r="K352" i="42" s="1"/>
  <c r="O547" i="51"/>
  <c r="O546" i="51" s="1"/>
  <c r="S522" i="51" s="1"/>
  <c r="P547" i="51"/>
  <c r="P546" i="51" s="1"/>
  <c r="M478" i="47"/>
  <c r="N478" i="47"/>
  <c r="I371" i="44"/>
  <c r="H371" i="44"/>
  <c r="K369" i="44" s="1"/>
  <c r="I547" i="53"/>
  <c r="H547" i="53"/>
  <c r="AG120" i="44"/>
  <c r="AG119" i="44" s="1"/>
  <c r="AG118" i="44" s="1"/>
  <c r="AG117" i="44" s="1"/>
  <c r="AG116" i="44" s="1"/>
  <c r="AG115" i="44" s="1"/>
  <c r="AG114" i="44" s="1"/>
  <c r="AG113" i="44" s="1"/>
  <c r="AG112" i="44" s="1"/>
  <c r="AG111" i="44" s="1"/>
  <c r="AG110" i="44" s="1"/>
  <c r="AG109" i="44" s="1"/>
  <c r="AG108" i="44" s="1"/>
  <c r="AG107" i="44" s="1"/>
  <c r="AG106" i="44" s="1"/>
  <c r="AG105" i="44" s="1"/>
  <c r="AG104" i="44" s="1"/>
  <c r="AG103" i="44" s="1"/>
  <c r="AG102" i="44" s="1"/>
  <c r="AG101" i="44" s="1"/>
  <c r="AG100" i="44" s="1"/>
  <c r="AG99" i="44" s="1"/>
  <c r="AG98" i="44" s="1"/>
  <c r="AG97" i="44" s="1"/>
  <c r="AO124" i="44" s="1"/>
  <c r="AJ120" i="44"/>
  <c r="AJ119" i="44" s="1"/>
  <c r="AJ118" i="44" s="1"/>
  <c r="AJ117" i="44" s="1"/>
  <c r="AJ116" i="44" s="1"/>
  <c r="AJ115" i="44" s="1"/>
  <c r="AJ114" i="44" s="1"/>
  <c r="AJ113" i="44" s="1"/>
  <c r="AJ112" i="44" s="1"/>
  <c r="AJ111" i="44" s="1"/>
  <c r="AJ110" i="44" s="1"/>
  <c r="AJ109" i="44" s="1"/>
  <c r="AJ108" i="44" s="1"/>
  <c r="AJ107" i="44" s="1"/>
  <c r="AJ106" i="44" s="1"/>
  <c r="AJ105" i="44" s="1"/>
  <c r="AJ104" i="44" s="1"/>
  <c r="AJ103" i="44" s="1"/>
  <c r="AJ102" i="44" s="1"/>
  <c r="AJ101" i="44" s="1"/>
  <c r="AJ100" i="44" s="1"/>
  <c r="AJ99" i="44" s="1"/>
  <c r="AJ98" i="44" s="1"/>
  <c r="AJ97" i="44" s="1"/>
  <c r="AR124" i="44" s="1"/>
  <c r="I386" i="47"/>
  <c r="H386" i="47"/>
  <c r="M407" i="44"/>
  <c r="N407" i="44"/>
  <c r="N532" i="52"/>
  <c r="M532" i="52"/>
  <c r="N478" i="54"/>
  <c r="M478" i="54"/>
  <c r="M493" i="55"/>
  <c r="N493" i="55"/>
  <c r="M440" i="45"/>
  <c r="N440" i="45"/>
  <c r="N371" i="38"/>
  <c r="M371" i="38"/>
  <c r="K532" i="43"/>
  <c r="K531" i="43" s="1"/>
  <c r="J532" i="43"/>
  <c r="J531" i="43" s="1"/>
  <c r="R521" i="43" s="1"/>
  <c r="J514" i="53"/>
  <c r="J513" i="53" s="1"/>
  <c r="R520" i="53" s="1"/>
  <c r="K514" i="53"/>
  <c r="K513" i="53" s="1"/>
  <c r="I46" i="53"/>
  <c r="I46" i="54"/>
  <c r="C46" i="53"/>
  <c r="C46" i="52"/>
  <c r="P10" i="52"/>
  <c r="C13" i="52" s="1"/>
  <c r="C56" i="52" s="1"/>
  <c r="I46" i="46"/>
  <c r="I46" i="44"/>
  <c r="P10" i="53"/>
  <c r="C13" i="53" s="1"/>
  <c r="C56" i="53" s="1"/>
  <c r="I46" i="55"/>
  <c r="C46" i="47"/>
  <c r="C46" i="45"/>
  <c r="AG120" i="47"/>
  <c r="AG119" i="47" s="1"/>
  <c r="AG118" i="47" s="1"/>
  <c r="AG117" i="47" s="1"/>
  <c r="AG116" i="47" s="1"/>
  <c r="AG115" i="47" s="1"/>
  <c r="AG114" i="47" s="1"/>
  <c r="AG113" i="47" s="1"/>
  <c r="AG112" i="47" s="1"/>
  <c r="AG111" i="47" s="1"/>
  <c r="AG110" i="47" s="1"/>
  <c r="AG109" i="47" s="1"/>
  <c r="AG108" i="47" s="1"/>
  <c r="AG107" i="47" s="1"/>
  <c r="AG106" i="47" s="1"/>
  <c r="AG105" i="47" s="1"/>
  <c r="AG104" i="47" s="1"/>
  <c r="AG103" i="47" s="1"/>
  <c r="AG102" i="47" s="1"/>
  <c r="AG101" i="47" s="1"/>
  <c r="AG100" i="47" s="1"/>
  <c r="AG99" i="47" s="1"/>
  <c r="AG98" i="47" s="1"/>
  <c r="AG97" i="47" s="1"/>
  <c r="AO124" i="47" s="1"/>
  <c r="N547" i="52"/>
  <c r="M547" i="52"/>
  <c r="N407" i="49"/>
  <c r="M407" i="49"/>
  <c r="I460" i="53"/>
  <c r="H460" i="53"/>
  <c r="M493" i="47"/>
  <c r="N493" i="47"/>
  <c r="I478" i="55"/>
  <c r="H478" i="55"/>
  <c r="K476" i="55" s="1"/>
  <c r="N493" i="37"/>
  <c r="M493" i="37"/>
  <c r="I371" i="49"/>
  <c r="H371" i="49"/>
  <c r="K369" i="49" s="1"/>
  <c r="M532" i="47"/>
  <c r="N532" i="47"/>
  <c r="I460" i="44"/>
  <c r="H460" i="44"/>
  <c r="H425" i="41"/>
  <c r="K423" i="41" s="1"/>
  <c r="I425" i="41"/>
  <c r="I407" i="52"/>
  <c r="H407" i="52"/>
  <c r="H514" i="45"/>
  <c r="I514" i="45"/>
  <c r="M386" i="44"/>
  <c r="N386" i="44"/>
  <c r="N532" i="37"/>
  <c r="M532" i="37"/>
  <c r="N353" i="46"/>
  <c r="M353" i="46"/>
  <c r="J407" i="43"/>
  <c r="J406" i="43" s="1"/>
  <c r="R413" i="43" s="1"/>
  <c r="K407" i="43"/>
  <c r="K406" i="43" s="1"/>
  <c r="N493" i="39"/>
  <c r="M493" i="39"/>
  <c r="N353" i="49"/>
  <c r="M353" i="49"/>
  <c r="M547" i="55"/>
  <c r="N547" i="55"/>
  <c r="H386" i="37"/>
  <c r="I386" i="37"/>
  <c r="N407" i="39"/>
  <c r="M407" i="39"/>
  <c r="I493" i="46"/>
  <c r="H493" i="46"/>
  <c r="M425" i="45"/>
  <c r="N425" i="45"/>
  <c r="N547" i="49"/>
  <c r="M547" i="49"/>
  <c r="O425" i="41"/>
  <c r="O424" i="41" s="1"/>
  <c r="S414" i="41" s="1"/>
  <c r="P425" i="41"/>
  <c r="I353" i="43"/>
  <c r="H353" i="43"/>
  <c r="H407" i="47"/>
  <c r="I407" i="47"/>
  <c r="K386" i="53"/>
  <c r="K385" i="53" s="1"/>
  <c r="J386" i="53"/>
  <c r="J385" i="53" s="1"/>
  <c r="N460" i="52"/>
  <c r="M460" i="52"/>
  <c r="J440" i="40"/>
  <c r="J439" i="40" s="1"/>
  <c r="R415" i="40" s="1"/>
  <c r="K440" i="40"/>
  <c r="K439" i="40" s="1"/>
  <c r="J407" i="44"/>
  <c r="J406" i="44" s="1"/>
  <c r="R413" i="44" s="1"/>
  <c r="K407" i="44"/>
  <c r="K406" i="44" s="1"/>
  <c r="I407" i="17"/>
  <c r="N353" i="41"/>
  <c r="M353" i="41"/>
  <c r="I547" i="50"/>
  <c r="H547" i="50"/>
  <c r="N547" i="54"/>
  <c r="M547" i="54"/>
  <c r="H407" i="55"/>
  <c r="I407" i="55"/>
  <c r="N493" i="41"/>
  <c r="M493" i="41"/>
  <c r="M425" i="44"/>
  <c r="N425" i="44"/>
  <c r="P353" i="42"/>
  <c r="P352" i="42" s="1"/>
  <c r="O353" i="42"/>
  <c r="O352" i="42" s="1"/>
  <c r="J424" i="45"/>
  <c r="R414" i="45" s="1"/>
  <c r="H547" i="47"/>
  <c r="I547" i="47"/>
  <c r="N547" i="17"/>
  <c r="M547" i="17"/>
  <c r="N440" i="42"/>
  <c r="M440" i="42"/>
  <c r="N371" i="48"/>
  <c r="M371" i="48"/>
  <c r="H353" i="50"/>
  <c r="AJ120" i="47"/>
  <c r="AJ119" i="47" s="1"/>
  <c r="AJ118" i="47" s="1"/>
  <c r="AJ117" i="47" s="1"/>
  <c r="AJ116" i="47" s="1"/>
  <c r="AJ115" i="47" s="1"/>
  <c r="AJ114" i="47" s="1"/>
  <c r="AJ113" i="47" s="1"/>
  <c r="AJ112" i="47" s="1"/>
  <c r="AJ111" i="47" s="1"/>
  <c r="AJ110" i="47" s="1"/>
  <c r="AJ109" i="47" s="1"/>
  <c r="AJ108" i="47" s="1"/>
  <c r="AJ107" i="47" s="1"/>
  <c r="AJ106" i="47" s="1"/>
  <c r="AJ105" i="47" s="1"/>
  <c r="AJ104" i="47" s="1"/>
  <c r="AJ103" i="47" s="1"/>
  <c r="AJ102" i="47" s="1"/>
  <c r="AJ101" i="47" s="1"/>
  <c r="AJ100" i="47" s="1"/>
  <c r="AJ99" i="47" s="1"/>
  <c r="AJ98" i="47" s="1"/>
  <c r="AJ97" i="47" s="1"/>
  <c r="AR124" i="47" s="1"/>
  <c r="H407" i="49"/>
  <c r="I407" i="49"/>
  <c r="H440" i="44"/>
  <c r="I440" i="44"/>
  <c r="N514" i="53"/>
  <c r="M514" i="53"/>
  <c r="AI107" i="39"/>
  <c r="AI106" i="39" s="1"/>
  <c r="AI105" i="39" s="1"/>
  <c r="AI104" i="39" s="1"/>
  <c r="AI103" i="39" s="1"/>
  <c r="AI102" i="39" s="1"/>
  <c r="AI101" i="39" s="1"/>
  <c r="AI100" i="39" s="1"/>
  <c r="AI99" i="39" s="1"/>
  <c r="AI98" i="39" s="1"/>
  <c r="AI97" i="39" s="1"/>
  <c r="AQ124" i="39" s="1"/>
  <c r="AH107" i="39"/>
  <c r="AH106" i="39" s="1"/>
  <c r="AH105" i="39" s="1"/>
  <c r="AH104" i="39" s="1"/>
  <c r="AH103" i="39" s="1"/>
  <c r="AH102" i="39" s="1"/>
  <c r="AH101" i="39" s="1"/>
  <c r="AH100" i="39" s="1"/>
  <c r="AH99" i="39" s="1"/>
  <c r="AH98" i="39" s="1"/>
  <c r="AH97" i="39" s="1"/>
  <c r="AP124" i="39" s="1"/>
  <c r="AK107" i="39"/>
  <c r="AK106" i="39" s="1"/>
  <c r="AK105" i="39" s="1"/>
  <c r="AK104" i="39" s="1"/>
  <c r="AK103" i="39" s="1"/>
  <c r="AK102" i="39" s="1"/>
  <c r="AK101" i="39" s="1"/>
  <c r="AK100" i="39" s="1"/>
  <c r="AK99" i="39" s="1"/>
  <c r="AK98" i="39" s="1"/>
  <c r="AK97" i="39" s="1"/>
  <c r="AS124" i="39" s="1"/>
  <c r="AG120" i="39"/>
  <c r="AG119" i="39" s="1"/>
  <c r="AG118" i="39" s="1"/>
  <c r="AG117" i="39" s="1"/>
  <c r="AG116" i="39" s="1"/>
  <c r="AG115" i="39" s="1"/>
  <c r="AG114" i="39" s="1"/>
  <c r="AG113" i="39" s="1"/>
  <c r="AG112" i="39" s="1"/>
  <c r="AG111" i="39" s="1"/>
  <c r="AG110" i="39" s="1"/>
  <c r="AG109" i="39" s="1"/>
  <c r="AG108" i="39" s="1"/>
  <c r="AG107" i="39" s="1"/>
  <c r="AG106" i="39" s="1"/>
  <c r="AG105" i="39" s="1"/>
  <c r="AG104" i="39" s="1"/>
  <c r="AG103" i="39" s="1"/>
  <c r="AG102" i="39" s="1"/>
  <c r="AG101" i="39" s="1"/>
  <c r="AG100" i="39" s="1"/>
  <c r="AG99" i="39" s="1"/>
  <c r="AG98" i="39" s="1"/>
  <c r="AG97" i="39" s="1"/>
  <c r="AO124" i="39" s="1"/>
  <c r="M514" i="50"/>
  <c r="N514" i="50"/>
  <c r="H460" i="42"/>
  <c r="I460" i="42"/>
  <c r="H514" i="41"/>
  <c r="I514" i="41"/>
  <c r="M440" i="51"/>
  <c r="N440" i="51"/>
  <c r="I514" i="48"/>
  <c r="H514" i="48"/>
  <c r="H353" i="46"/>
  <c r="I353" i="46"/>
  <c r="H353" i="41"/>
  <c r="I353" i="41"/>
  <c r="H478" i="47"/>
  <c r="K476" i="47" s="1"/>
  <c r="I478" i="47"/>
  <c r="I371" i="45"/>
  <c r="H371" i="45"/>
  <c r="K369" i="45" s="1"/>
  <c r="P407" i="54"/>
  <c r="P406" i="54" s="1"/>
  <c r="O407" i="54"/>
  <c r="O406" i="54" s="1"/>
  <c r="S413" i="54" s="1"/>
  <c r="M460" i="44"/>
  <c r="N460" i="44"/>
  <c r="O478" i="55"/>
  <c r="O477" i="55" s="1"/>
  <c r="P478" i="55"/>
  <c r="P460" i="40"/>
  <c r="P459" i="40" s="1"/>
  <c r="E26" i="40" s="1"/>
  <c r="O460" i="40"/>
  <c r="O459" i="40" s="1"/>
  <c r="N493" i="17"/>
  <c r="M493" i="17"/>
  <c r="AL120" i="47"/>
  <c r="AL119" i="47" s="1"/>
  <c r="AL118" i="47" s="1"/>
  <c r="AL117" i="47" s="1"/>
  <c r="AL116" i="47" s="1"/>
  <c r="AL115" i="47" s="1"/>
  <c r="AL114" i="47" s="1"/>
  <c r="AL113" i="47" s="1"/>
  <c r="AL112" i="47" s="1"/>
  <c r="AL111" i="47" s="1"/>
  <c r="AL110" i="47" s="1"/>
  <c r="AL109" i="47" s="1"/>
  <c r="AL108" i="47" s="1"/>
  <c r="AL107" i="47" s="1"/>
  <c r="AL106" i="47" s="1"/>
  <c r="AL105" i="47" s="1"/>
  <c r="AL104" i="47" s="1"/>
  <c r="AL103" i="47" s="1"/>
  <c r="AL102" i="47" s="1"/>
  <c r="AL101" i="47" s="1"/>
  <c r="AL100" i="47" s="1"/>
  <c r="AL99" i="47" s="1"/>
  <c r="AL98" i="47" s="1"/>
  <c r="AL97" i="47" s="1"/>
  <c r="AT124" i="47" s="1"/>
  <c r="AH120" i="47"/>
  <c r="AH119" i="47" s="1"/>
  <c r="AH118" i="47" s="1"/>
  <c r="AH117" i="47" s="1"/>
  <c r="AH116" i="47" s="1"/>
  <c r="AH115" i="47" s="1"/>
  <c r="AH114" i="47" s="1"/>
  <c r="AH113" i="47" s="1"/>
  <c r="AH112" i="47" s="1"/>
  <c r="AH111" i="47" s="1"/>
  <c r="AH110" i="47" s="1"/>
  <c r="AH109" i="47" s="1"/>
  <c r="AH108" i="47" s="1"/>
  <c r="AH107" i="47" s="1"/>
  <c r="AH106" i="47" s="1"/>
  <c r="AH105" i="47" s="1"/>
  <c r="AH104" i="47" s="1"/>
  <c r="AH103" i="47" s="1"/>
  <c r="AH102" i="47" s="1"/>
  <c r="AH101" i="47" s="1"/>
  <c r="AH100" i="47" s="1"/>
  <c r="AH99" i="47" s="1"/>
  <c r="AH98" i="47" s="1"/>
  <c r="AH97" i="47" s="1"/>
  <c r="AP124" i="47" s="1"/>
  <c r="N440" i="54"/>
  <c r="M440" i="54"/>
  <c r="I493" i="51"/>
  <c r="H493" i="51"/>
  <c r="H514" i="46"/>
  <c r="I514" i="46"/>
  <c r="I386" i="42"/>
  <c r="H386" i="42"/>
  <c r="O460" i="41"/>
  <c r="O459" i="41" s="1"/>
  <c r="P460" i="41"/>
  <c r="P459" i="41" s="1"/>
  <c r="E26" i="41" s="1"/>
  <c r="I532" i="46"/>
  <c r="H532" i="46"/>
  <c r="K530" i="46" s="1"/>
  <c r="I514" i="49"/>
  <c r="H514" i="49"/>
  <c r="M460" i="47"/>
  <c r="N460" i="47"/>
  <c r="I386" i="44"/>
  <c r="H386" i="44"/>
  <c r="M514" i="42"/>
  <c r="N514" i="42"/>
  <c r="P547" i="46"/>
  <c r="P546" i="46" s="1"/>
  <c r="O547" i="46"/>
  <c r="O546" i="46" s="1"/>
  <c r="S522" i="46" s="1"/>
  <c r="AI120" i="47"/>
  <c r="AI119" i="47" s="1"/>
  <c r="AI118" i="47" s="1"/>
  <c r="AI117" i="47" s="1"/>
  <c r="AI116" i="47" s="1"/>
  <c r="AI115" i="47" s="1"/>
  <c r="AI114" i="47" s="1"/>
  <c r="AI113" i="47" s="1"/>
  <c r="AI112" i="47" s="1"/>
  <c r="AI111" i="47" s="1"/>
  <c r="AI110" i="47" s="1"/>
  <c r="AI109" i="47" s="1"/>
  <c r="AI108" i="47" s="1"/>
  <c r="AI107" i="47" s="1"/>
  <c r="AI106" i="47" s="1"/>
  <c r="AI105" i="47" s="1"/>
  <c r="AI104" i="47" s="1"/>
  <c r="AI103" i="47" s="1"/>
  <c r="AI102" i="47" s="1"/>
  <c r="AI101" i="47" s="1"/>
  <c r="AI100" i="47" s="1"/>
  <c r="AI99" i="47" s="1"/>
  <c r="AI98" i="47" s="1"/>
  <c r="AI97" i="47" s="1"/>
  <c r="AQ124" i="47" s="1"/>
  <c r="H425" i="54"/>
  <c r="K423" i="54" s="1"/>
  <c r="I440" i="51"/>
  <c r="H440" i="51"/>
  <c r="I478" i="49"/>
  <c r="H478" i="49"/>
  <c r="K476" i="49" s="1"/>
  <c r="H440" i="41"/>
  <c r="I440" i="41"/>
  <c r="M425" i="43"/>
  <c r="N425" i="43"/>
  <c r="K371" i="39"/>
  <c r="K370" i="39" s="1"/>
  <c r="J371" i="39"/>
  <c r="J370" i="39" s="1"/>
  <c r="H440" i="48"/>
  <c r="I440" i="48"/>
  <c r="J407" i="45"/>
  <c r="J406" i="45" s="1"/>
  <c r="R413" i="45" s="1"/>
  <c r="K407" i="45"/>
  <c r="K406" i="45" s="1"/>
  <c r="AI99" i="55"/>
  <c r="AI98" i="55" s="1"/>
  <c r="AI97" i="55" s="1"/>
  <c r="AQ124" i="55" s="1"/>
  <c r="AJ99" i="55"/>
  <c r="AJ98" i="55" s="1"/>
  <c r="AJ97" i="55" s="1"/>
  <c r="AR124" i="55" s="1"/>
  <c r="AG99" i="55"/>
  <c r="AG98" i="55" s="1"/>
  <c r="AG97" i="55" s="1"/>
  <c r="AO124" i="55" s="1"/>
  <c r="AK99" i="55"/>
  <c r="AK98" i="55" s="1"/>
  <c r="AK97" i="55" s="1"/>
  <c r="AS124" i="55" s="1"/>
  <c r="M514" i="44"/>
  <c r="N514" i="44"/>
  <c r="H547" i="49"/>
  <c r="I547" i="49"/>
  <c r="H532" i="54"/>
  <c r="K530" i="54" s="1"/>
  <c r="I532" i="54"/>
  <c r="J547" i="55"/>
  <c r="J546" i="55" s="1"/>
  <c r="R522" i="55" s="1"/>
  <c r="K547" i="55"/>
  <c r="K546" i="55" s="1"/>
  <c r="AK120" i="47"/>
  <c r="AK119" i="47" s="1"/>
  <c r="AK118" i="47" s="1"/>
  <c r="AK117" i="47" s="1"/>
  <c r="AK116" i="47" s="1"/>
  <c r="AK115" i="47" s="1"/>
  <c r="AK114" i="47" s="1"/>
  <c r="AK113" i="47" s="1"/>
  <c r="AK112" i="47" s="1"/>
  <c r="AK111" i="47" s="1"/>
  <c r="AK110" i="47" s="1"/>
  <c r="AK109" i="47" s="1"/>
  <c r="AK108" i="47" s="1"/>
  <c r="AK107" i="47" s="1"/>
  <c r="AK106" i="47" s="1"/>
  <c r="AK105" i="47" s="1"/>
  <c r="AK104" i="47" s="1"/>
  <c r="AK103" i="47" s="1"/>
  <c r="AK102" i="47" s="1"/>
  <c r="AK101" i="47" s="1"/>
  <c r="AK100" i="47" s="1"/>
  <c r="AK99" i="47" s="1"/>
  <c r="AK98" i="47" s="1"/>
  <c r="AK97" i="47" s="1"/>
  <c r="AS124" i="47" s="1"/>
  <c r="M32" i="49"/>
  <c r="I48" i="49" s="1"/>
  <c r="M371" i="51"/>
  <c r="I514" i="44"/>
  <c r="H514" i="44"/>
  <c r="I532" i="40"/>
  <c r="H532" i="40"/>
  <c r="K530" i="40" s="1"/>
  <c r="P371" i="40"/>
  <c r="O371" i="40"/>
  <c r="O370" i="40" s="1"/>
  <c r="H532" i="42"/>
  <c r="K530" i="42" s="1"/>
  <c r="I532" i="42"/>
  <c r="N514" i="39"/>
  <c r="M514" i="39"/>
  <c r="I440" i="49"/>
  <c r="H440" i="49"/>
  <c r="H532" i="44"/>
  <c r="K530" i="44" s="1"/>
  <c r="I532" i="44"/>
  <c r="N514" i="52"/>
  <c r="M514" i="52"/>
  <c r="M514" i="41"/>
  <c r="N514" i="41"/>
  <c r="P386" i="49"/>
  <c r="P385" i="49" s="1"/>
  <c r="I440" i="45"/>
  <c r="H440" i="45"/>
  <c r="P386" i="37"/>
  <c r="P385" i="37" s="1"/>
  <c r="O386" i="37"/>
  <c r="O385" i="37" s="1"/>
  <c r="N514" i="48"/>
  <c r="M514" i="48"/>
  <c r="H425" i="43"/>
  <c r="K423" i="43" s="1"/>
  <c r="I425" i="43"/>
  <c r="J386" i="40"/>
  <c r="J385" i="40" s="1"/>
  <c r="K386" i="40"/>
  <c r="K385" i="40" s="1"/>
  <c r="O407" i="38"/>
  <c r="O406" i="38" s="1"/>
  <c r="S413" i="38" s="1"/>
  <c r="P407" i="38"/>
  <c r="P406" i="38" s="1"/>
  <c r="P352" i="38"/>
  <c r="N425" i="49"/>
  <c r="M425" i="49"/>
  <c r="M407" i="50"/>
  <c r="N407" i="50"/>
  <c r="I440" i="46"/>
  <c r="H440" i="46"/>
  <c r="N532" i="54"/>
  <c r="M532" i="54"/>
  <c r="M460" i="42"/>
  <c r="N460" i="42"/>
  <c r="K493" i="47"/>
  <c r="K492" i="47" s="1"/>
  <c r="E35" i="47" s="1"/>
  <c r="J493" i="47"/>
  <c r="J492" i="47" s="1"/>
  <c r="M493" i="45"/>
  <c r="N493" i="45"/>
  <c r="K514" i="54"/>
  <c r="K513" i="54" s="1"/>
  <c r="J514" i="54"/>
  <c r="J513" i="54" s="1"/>
  <c r="R520" i="54" s="1"/>
  <c r="N371" i="54"/>
  <c r="M371" i="54"/>
  <c r="P423" i="46"/>
  <c r="M423" i="46"/>
  <c r="O423" i="46"/>
  <c r="K514" i="52"/>
  <c r="K513" i="52" s="1"/>
  <c r="J514" i="52"/>
  <c r="J513" i="52" s="1"/>
  <c r="R520" i="52" s="1"/>
  <c r="O371" i="44"/>
  <c r="O370" i="44" s="1"/>
  <c r="P371" i="44"/>
  <c r="O353" i="39"/>
  <c r="O352" i="39" s="1"/>
  <c r="P353" i="39"/>
  <c r="P352" i="39" s="1"/>
  <c r="J492" i="17"/>
  <c r="O478" i="51"/>
  <c r="O477" i="51" s="1"/>
  <c r="P478" i="51"/>
  <c r="O425" i="50"/>
  <c r="O424" i="50" s="1"/>
  <c r="S414" i="50" s="1"/>
  <c r="P425" i="50"/>
  <c r="O371" i="51"/>
  <c r="O370" i="51" s="1"/>
  <c r="P371" i="51"/>
  <c r="K493" i="45"/>
  <c r="K492" i="45" s="1"/>
  <c r="E35" i="45" s="1"/>
  <c r="J493" i="45"/>
  <c r="J492" i="45" s="1"/>
  <c r="M32" i="52"/>
  <c r="I48" i="52" s="1"/>
  <c r="M35" i="52"/>
  <c r="P353" i="45"/>
  <c r="P352" i="45" s="1"/>
  <c r="O353" i="45"/>
  <c r="O352" i="45" s="1"/>
  <c r="K353" i="52"/>
  <c r="K352" i="52" s="1"/>
  <c r="P478" i="43"/>
  <c r="O478" i="43"/>
  <c r="O477" i="43" s="1"/>
  <c r="J425" i="54"/>
  <c r="J424" i="54" s="1"/>
  <c r="R414" i="54" s="1"/>
  <c r="K425" i="54"/>
  <c r="I46" i="51"/>
  <c r="C46" i="51"/>
  <c r="P10" i="49"/>
  <c r="C13" i="49" s="1"/>
  <c r="C56" i="49" s="1"/>
  <c r="P10" i="54"/>
  <c r="C13" i="54" s="1"/>
  <c r="C56" i="54" s="1"/>
  <c r="C10" i="54"/>
  <c r="C46" i="54" s="1"/>
  <c r="P11" i="54"/>
  <c r="E13" i="54" s="1"/>
  <c r="I56" i="54" s="1"/>
  <c r="I46" i="49"/>
  <c r="I46" i="48"/>
  <c r="I46" i="47"/>
  <c r="I46" i="43"/>
  <c r="I46" i="52"/>
  <c r="I46" i="50"/>
  <c r="P11" i="47"/>
  <c r="E13" i="47" s="1"/>
  <c r="I56" i="47" s="1"/>
  <c r="P11" i="43"/>
  <c r="E13" i="43" s="1"/>
  <c r="I56" i="43" s="1"/>
  <c r="M532" i="44"/>
  <c r="N532" i="44"/>
  <c r="N386" i="52"/>
  <c r="M386" i="52"/>
  <c r="N425" i="51"/>
  <c r="M425" i="51"/>
  <c r="J547" i="48"/>
  <c r="J546" i="48" s="1"/>
  <c r="R522" i="48" s="1"/>
  <c r="K547" i="48"/>
  <c r="K546" i="48" s="1"/>
  <c r="I425" i="44"/>
  <c r="H425" i="44"/>
  <c r="K423" i="44" s="1"/>
  <c r="K478" i="17"/>
  <c r="J478" i="17"/>
  <c r="J477" i="17" s="1"/>
  <c r="P11" i="48"/>
  <c r="E13" i="48" s="1"/>
  <c r="I56" i="48" s="1"/>
  <c r="M371" i="55"/>
  <c r="N371" i="55"/>
  <c r="M478" i="44"/>
  <c r="N478" i="44"/>
  <c r="H407" i="51"/>
  <c r="I407" i="51"/>
  <c r="K407" i="53"/>
  <c r="K406" i="53" s="1"/>
  <c r="J407" i="53"/>
  <c r="J406" i="53" s="1"/>
  <c r="R413" i="53" s="1"/>
  <c r="H532" i="50"/>
  <c r="K530" i="50" s="1"/>
  <c r="I532" i="50"/>
  <c r="I386" i="43"/>
  <c r="H386" i="43"/>
  <c r="I460" i="50"/>
  <c r="N440" i="48"/>
  <c r="M440" i="48"/>
  <c r="K532" i="47"/>
  <c r="K531" i="47" s="1"/>
  <c r="J532" i="47"/>
  <c r="J531" i="47" s="1"/>
  <c r="R521" i="47" s="1"/>
  <c r="AK120" i="51"/>
  <c r="AK119" i="51" s="1"/>
  <c r="AK118" i="51" s="1"/>
  <c r="AK117" i="51" s="1"/>
  <c r="AK116" i="51" s="1"/>
  <c r="AK115" i="51" s="1"/>
  <c r="AK114" i="51" s="1"/>
  <c r="AK113" i="51" s="1"/>
  <c r="AK112" i="51" s="1"/>
  <c r="AK111" i="51" s="1"/>
  <c r="AK110" i="51" s="1"/>
  <c r="AK109" i="51" s="1"/>
  <c r="AK108" i="51" s="1"/>
  <c r="AK107" i="51" s="1"/>
  <c r="AK106" i="51" s="1"/>
  <c r="AK105" i="51" s="1"/>
  <c r="AK104" i="51" s="1"/>
  <c r="AK103" i="51" s="1"/>
  <c r="AK102" i="51" s="1"/>
  <c r="AK101" i="51" s="1"/>
  <c r="AK100" i="51" s="1"/>
  <c r="AK99" i="51" s="1"/>
  <c r="AK98" i="51" s="1"/>
  <c r="AK97" i="51" s="1"/>
  <c r="AS124" i="51" s="1"/>
  <c r="AH120" i="51"/>
  <c r="AH119" i="51" s="1"/>
  <c r="AH118" i="51" s="1"/>
  <c r="AH117" i="51" s="1"/>
  <c r="AH116" i="51" s="1"/>
  <c r="AH115" i="51" s="1"/>
  <c r="AH114" i="51" s="1"/>
  <c r="AH113" i="51" s="1"/>
  <c r="AH112" i="51" s="1"/>
  <c r="AH111" i="51" s="1"/>
  <c r="AH110" i="51" s="1"/>
  <c r="AH109" i="51" s="1"/>
  <c r="AH108" i="51" s="1"/>
  <c r="AH107" i="51" s="1"/>
  <c r="AH106" i="51" s="1"/>
  <c r="AH105" i="51" s="1"/>
  <c r="AH104" i="51" s="1"/>
  <c r="AH103" i="51" s="1"/>
  <c r="AH102" i="51" s="1"/>
  <c r="AH101" i="51" s="1"/>
  <c r="AH100" i="51" s="1"/>
  <c r="AH99" i="51" s="1"/>
  <c r="AH98" i="51" s="1"/>
  <c r="AH97" i="51" s="1"/>
  <c r="AP124" i="51" s="1"/>
  <c r="AG120" i="51"/>
  <c r="AG119" i="51" s="1"/>
  <c r="AG118" i="51" s="1"/>
  <c r="AG117" i="51" s="1"/>
  <c r="AG116" i="51" s="1"/>
  <c r="AG115" i="51" s="1"/>
  <c r="AG114" i="51" s="1"/>
  <c r="AG113" i="51" s="1"/>
  <c r="AG112" i="51" s="1"/>
  <c r="AG111" i="51" s="1"/>
  <c r="AG110" i="51" s="1"/>
  <c r="AG109" i="51" s="1"/>
  <c r="AG108" i="51" s="1"/>
  <c r="AG107" i="51" s="1"/>
  <c r="AG106" i="51" s="1"/>
  <c r="AG105" i="51" s="1"/>
  <c r="AG104" i="51" s="1"/>
  <c r="AG103" i="51" s="1"/>
  <c r="AG102" i="51" s="1"/>
  <c r="AG101" i="51" s="1"/>
  <c r="AG100" i="51" s="1"/>
  <c r="AG99" i="51" s="1"/>
  <c r="AG98" i="51" s="1"/>
  <c r="AG97" i="51" s="1"/>
  <c r="AO124" i="51" s="1"/>
  <c r="AL120" i="51"/>
  <c r="AL119" i="51" s="1"/>
  <c r="AL118" i="51" s="1"/>
  <c r="AL117" i="51" s="1"/>
  <c r="AL116" i="51" s="1"/>
  <c r="AL115" i="51" s="1"/>
  <c r="AL114" i="51" s="1"/>
  <c r="AL113" i="51" s="1"/>
  <c r="AL112" i="51" s="1"/>
  <c r="AL111" i="51" s="1"/>
  <c r="AL110" i="51" s="1"/>
  <c r="AL109" i="51" s="1"/>
  <c r="AL108" i="51" s="1"/>
  <c r="AL107" i="51" s="1"/>
  <c r="AL106" i="51" s="1"/>
  <c r="AL105" i="51" s="1"/>
  <c r="AL104" i="51" s="1"/>
  <c r="AL103" i="51" s="1"/>
  <c r="AL102" i="51" s="1"/>
  <c r="AL101" i="51" s="1"/>
  <c r="AL100" i="51" s="1"/>
  <c r="AL99" i="51" s="1"/>
  <c r="AL98" i="51" s="1"/>
  <c r="AL97" i="51" s="1"/>
  <c r="AT124" i="51" s="1"/>
  <c r="AJ120" i="51"/>
  <c r="AJ119" i="51" s="1"/>
  <c r="AJ118" i="51" s="1"/>
  <c r="AJ117" i="51" s="1"/>
  <c r="AJ116" i="51" s="1"/>
  <c r="AJ115" i="51" s="1"/>
  <c r="AJ114" i="51" s="1"/>
  <c r="AJ113" i="51" s="1"/>
  <c r="AJ112" i="51" s="1"/>
  <c r="AJ111" i="51" s="1"/>
  <c r="AJ110" i="51" s="1"/>
  <c r="AJ109" i="51" s="1"/>
  <c r="AJ108" i="51" s="1"/>
  <c r="AJ107" i="51" s="1"/>
  <c r="AJ106" i="51" s="1"/>
  <c r="AJ105" i="51" s="1"/>
  <c r="AJ104" i="51" s="1"/>
  <c r="AJ103" i="51" s="1"/>
  <c r="AJ102" i="51" s="1"/>
  <c r="AJ101" i="51" s="1"/>
  <c r="AJ100" i="51" s="1"/>
  <c r="AJ99" i="51" s="1"/>
  <c r="AJ98" i="51" s="1"/>
  <c r="AJ97" i="51" s="1"/>
  <c r="AR124" i="51" s="1"/>
  <c r="AI120" i="51"/>
  <c r="AI119" i="51" s="1"/>
  <c r="AI118" i="51" s="1"/>
  <c r="AI117" i="51" s="1"/>
  <c r="AI116" i="51" s="1"/>
  <c r="AI115" i="51" s="1"/>
  <c r="AI114" i="51" s="1"/>
  <c r="AI113" i="51" s="1"/>
  <c r="AI112" i="51" s="1"/>
  <c r="AI111" i="51" s="1"/>
  <c r="AI110" i="51" s="1"/>
  <c r="AI109" i="51" s="1"/>
  <c r="AI108" i="51" s="1"/>
  <c r="AI107" i="51" s="1"/>
  <c r="AI106" i="51" s="1"/>
  <c r="AI105" i="51" s="1"/>
  <c r="AI104" i="51" s="1"/>
  <c r="AI103" i="51" s="1"/>
  <c r="AI102" i="51" s="1"/>
  <c r="AI101" i="51" s="1"/>
  <c r="AI100" i="51" s="1"/>
  <c r="AI99" i="51" s="1"/>
  <c r="AI98" i="51" s="1"/>
  <c r="AI97" i="51" s="1"/>
  <c r="AQ124" i="51" s="1"/>
  <c r="N440" i="49"/>
  <c r="M440" i="49"/>
  <c r="I532" i="41"/>
  <c r="H532" i="41"/>
  <c r="K530" i="41" s="1"/>
  <c r="N440" i="53"/>
  <c r="M440" i="53"/>
  <c r="H386" i="49"/>
  <c r="I386" i="49"/>
  <c r="N425" i="54"/>
  <c r="M425" i="54"/>
  <c r="H547" i="40"/>
  <c r="I547" i="40"/>
  <c r="H493" i="40"/>
  <c r="I493" i="40"/>
  <c r="O532" i="38"/>
  <c r="O531" i="38" s="1"/>
  <c r="S521" i="38" s="1"/>
  <c r="P532" i="38"/>
  <c r="P11" i="51"/>
  <c r="E13" i="51" s="1"/>
  <c r="I56" i="51" s="1"/>
  <c r="P10" i="45"/>
  <c r="C13" i="45" s="1"/>
  <c r="C56" i="45" s="1"/>
  <c r="I547" i="39"/>
  <c r="H547" i="39"/>
  <c r="N493" i="49"/>
  <c r="M493" i="49"/>
  <c r="M478" i="46"/>
  <c r="N478" i="46"/>
  <c r="I514" i="17"/>
  <c r="H514" i="17"/>
  <c r="I407" i="37"/>
  <c r="H407" i="37"/>
  <c r="K514" i="38"/>
  <c r="K513" i="38" s="1"/>
  <c r="J514" i="38"/>
  <c r="J513" i="38" s="1"/>
  <c r="R520" i="38" s="1"/>
  <c r="P10" i="51"/>
  <c r="C13" i="51" s="1"/>
  <c r="C56" i="51" s="1"/>
  <c r="I46" i="45"/>
  <c r="P10" i="47"/>
  <c r="C13" i="47" s="1"/>
  <c r="C56" i="47" s="1"/>
  <c r="I386" i="45"/>
  <c r="H386" i="45"/>
  <c r="J460" i="41"/>
  <c r="J459" i="41" s="1"/>
  <c r="K460" i="41"/>
  <c r="K459" i="41" s="1"/>
  <c r="E25" i="41" s="1"/>
  <c r="H547" i="52"/>
  <c r="I547" i="52"/>
  <c r="N532" i="48"/>
  <c r="M532" i="48"/>
  <c r="H371" i="47"/>
  <c r="K369" i="47" s="1"/>
  <c r="I371" i="47"/>
  <c r="N386" i="39"/>
  <c r="M386" i="39"/>
  <c r="O478" i="41"/>
  <c r="O477" i="41" s="1"/>
  <c r="P478" i="41"/>
  <c r="N514" i="17"/>
  <c r="M514" i="17"/>
  <c r="M407" i="42"/>
  <c r="N407" i="42"/>
  <c r="N532" i="51"/>
  <c r="M532" i="51"/>
  <c r="H386" i="48"/>
  <c r="I386" i="48"/>
  <c r="O460" i="54"/>
  <c r="O459" i="54" s="1"/>
  <c r="M425" i="40"/>
  <c r="N425" i="40"/>
  <c r="P11" i="55"/>
  <c r="E13" i="55" s="1"/>
  <c r="I56" i="55" s="1"/>
  <c r="N31" i="41"/>
  <c r="M32" i="41"/>
  <c r="I48" i="41" s="1"/>
  <c r="N460" i="39"/>
  <c r="M460" i="39"/>
  <c r="J353" i="45"/>
  <c r="J352" i="45" s="1"/>
  <c r="K353" i="45"/>
  <c r="K352" i="45" s="1"/>
  <c r="K371" i="48"/>
  <c r="K370" i="48" s="1"/>
  <c r="J371" i="48"/>
  <c r="J370" i="48" s="1"/>
  <c r="M425" i="37"/>
  <c r="N425" i="37"/>
  <c r="N407" i="37"/>
  <c r="M407" i="37"/>
  <c r="P460" i="38"/>
  <c r="P459" i="38" s="1"/>
  <c r="E26" i="38" s="1"/>
  <c r="O460" i="38"/>
  <c r="O459" i="38" s="1"/>
  <c r="K386" i="17"/>
  <c r="K385" i="17" s="1"/>
  <c r="J386" i="17"/>
  <c r="J385" i="17" s="1"/>
  <c r="M32" i="40"/>
  <c r="I48" i="40" s="1"/>
  <c r="N31" i="40"/>
  <c r="N478" i="48"/>
  <c r="M478" i="48"/>
  <c r="P386" i="53"/>
  <c r="P385" i="53" s="1"/>
  <c r="O386" i="53"/>
  <c r="O385" i="53" s="1"/>
  <c r="H547" i="42"/>
  <c r="I547" i="42"/>
  <c r="I460" i="49"/>
  <c r="H460" i="49"/>
  <c r="N514" i="54"/>
  <c r="M514" i="54"/>
  <c r="H371" i="40"/>
  <c r="K369" i="40" s="1"/>
  <c r="I371" i="40"/>
  <c r="I46" i="41"/>
  <c r="I46" i="37"/>
  <c r="I46" i="42"/>
  <c r="I46" i="39"/>
  <c r="I46" i="40"/>
  <c r="P10" i="41"/>
  <c r="C13" i="41" s="1"/>
  <c r="C56" i="41" s="1"/>
  <c r="P11" i="37"/>
  <c r="E13" i="37" s="1"/>
  <c r="I56" i="37" s="1"/>
  <c r="P10" i="37"/>
  <c r="C13" i="37" s="1"/>
  <c r="C56" i="37" s="1"/>
  <c r="C46" i="37"/>
  <c r="P11" i="53"/>
  <c r="E13" i="53" s="1"/>
  <c r="I56" i="53" s="1"/>
  <c r="C10" i="41"/>
  <c r="C38" i="41" s="1"/>
  <c r="C40" i="41" s="1"/>
  <c r="M31" i="41" s="1"/>
  <c r="C48" i="41" s="1"/>
  <c r="P10" i="17"/>
  <c r="C13" i="17" s="1"/>
  <c r="C56" i="17" s="1"/>
  <c r="C10" i="38"/>
  <c r="P10" i="38"/>
  <c r="C13" i="38" s="1"/>
  <c r="C56" i="38" s="1"/>
  <c r="C14" i="39"/>
  <c r="P11" i="39"/>
  <c r="E13" i="39" s="1"/>
  <c r="I56" i="39" s="1"/>
  <c r="C12" i="38"/>
  <c r="I46" i="38" s="1"/>
  <c r="P11" i="38"/>
  <c r="E13" i="38" s="1"/>
  <c r="I56" i="38" s="1"/>
  <c r="P11" i="41"/>
  <c r="E13" i="41" s="1"/>
  <c r="I56" i="41" s="1"/>
  <c r="C38" i="50"/>
  <c r="C40" i="50" s="1"/>
  <c r="M31" i="50" s="1"/>
  <c r="C48" i="50" s="1"/>
  <c r="C46" i="50"/>
  <c r="C46" i="42"/>
  <c r="C10" i="55"/>
  <c r="P10" i="55"/>
  <c r="C13" i="55" s="1"/>
  <c r="C56" i="55" s="1"/>
  <c r="P10" i="50"/>
  <c r="C13" i="50" s="1"/>
  <c r="C56" i="50" s="1"/>
  <c r="P11" i="45"/>
  <c r="E13" i="45" s="1"/>
  <c r="I56" i="45" s="1"/>
  <c r="C10" i="46"/>
  <c r="P10" i="46"/>
  <c r="C13" i="46" s="1"/>
  <c r="C56" i="46" s="1"/>
  <c r="C14" i="49"/>
  <c r="P11" i="49"/>
  <c r="E13" i="49" s="1"/>
  <c r="I56" i="49" s="1"/>
  <c r="P11" i="46"/>
  <c r="E13" i="46" s="1"/>
  <c r="I56" i="46" s="1"/>
  <c r="C10" i="48"/>
  <c r="P10" i="48"/>
  <c r="C13" i="48" s="1"/>
  <c r="C56" i="48" s="1"/>
  <c r="C46" i="49"/>
  <c r="C38" i="49"/>
  <c r="C40" i="49" s="1"/>
  <c r="M31" i="49" s="1"/>
  <c r="C48" i="49" s="1"/>
  <c r="P11" i="50"/>
  <c r="E13" i="50" s="1"/>
  <c r="I56" i="50" s="1"/>
  <c r="P10" i="43"/>
  <c r="C13" i="43" s="1"/>
  <c r="C56" i="43" s="1"/>
  <c r="P10" i="44"/>
  <c r="C13" i="44" s="1"/>
  <c r="C56" i="44" s="1"/>
  <c r="C10" i="44"/>
  <c r="C10" i="39"/>
  <c r="C38" i="39" s="1"/>
  <c r="C40" i="39" s="1"/>
  <c r="M31" i="39" s="1"/>
  <c r="C48" i="39" s="1"/>
  <c r="P10" i="39"/>
  <c r="C13" i="39" s="1"/>
  <c r="C56" i="39" s="1"/>
  <c r="C14" i="52"/>
  <c r="P11" i="52"/>
  <c r="E13" i="52" s="1"/>
  <c r="I56" i="52" s="1"/>
  <c r="P11" i="42"/>
  <c r="E13" i="42" s="1"/>
  <c r="I56" i="42" s="1"/>
  <c r="C46" i="43"/>
  <c r="P11" i="44"/>
  <c r="E13" i="44" s="1"/>
  <c r="I56" i="44" s="1"/>
  <c r="C14" i="44"/>
  <c r="P10" i="42"/>
  <c r="C13" i="42" s="1"/>
  <c r="C56" i="42" s="1"/>
  <c r="I46" i="17"/>
  <c r="C10" i="17"/>
  <c r="C38" i="17" s="1"/>
  <c r="C40" i="17" s="1"/>
  <c r="M31" i="17" s="1"/>
  <c r="C48" i="17" s="1"/>
  <c r="P11" i="17"/>
  <c r="E13" i="17" s="1"/>
  <c r="I56" i="17" s="1"/>
  <c r="C14" i="17"/>
  <c r="O371" i="41"/>
  <c r="O370" i="41" s="1"/>
  <c r="N514" i="37"/>
  <c r="M514" i="37"/>
  <c r="P493" i="38"/>
  <c r="P492" i="38" s="1"/>
  <c r="E36" i="38" s="1"/>
  <c r="O493" i="38"/>
  <c r="O492" i="38" s="1"/>
  <c r="I353" i="37"/>
  <c r="H353" i="37"/>
  <c r="M532" i="17"/>
  <c r="N532" i="17"/>
  <c r="H353" i="17"/>
  <c r="I353" i="17"/>
  <c r="O386" i="54"/>
  <c r="O385" i="54" s="1"/>
  <c r="P386" i="54"/>
  <c r="P385" i="54" s="1"/>
  <c r="M425" i="47"/>
  <c r="N425" i="47"/>
  <c r="J386" i="52"/>
  <c r="J385" i="52" s="1"/>
  <c r="K386" i="52"/>
  <c r="K385" i="52" s="1"/>
  <c r="K353" i="50"/>
  <c r="K352" i="50" s="1"/>
  <c r="J353" i="50"/>
  <c r="J352" i="50" s="1"/>
  <c r="K386" i="46"/>
  <c r="K385" i="46" s="1"/>
  <c r="J386" i="46"/>
  <c r="J385" i="46" s="1"/>
  <c r="K353" i="51"/>
  <c r="K352" i="51" s="1"/>
  <c r="J353" i="51"/>
  <c r="J352" i="51" s="1"/>
  <c r="J478" i="53"/>
  <c r="J477" i="53" s="1"/>
  <c r="K478" i="53"/>
  <c r="K477" i="53" s="1"/>
  <c r="E30" i="53" s="1"/>
  <c r="I386" i="39"/>
  <c r="H386" i="39"/>
  <c r="J532" i="45"/>
  <c r="J531" i="45" s="1"/>
  <c r="R521" i="45" s="1"/>
  <c r="K532" i="45"/>
  <c r="P371" i="46"/>
  <c r="O371" i="46"/>
  <c r="O370" i="46" s="1"/>
  <c r="K386" i="55"/>
  <c r="K385" i="55" s="1"/>
  <c r="J386" i="55"/>
  <c r="J385" i="55" s="1"/>
  <c r="R361" i="55" s="1"/>
  <c r="P514" i="38"/>
  <c r="P513" i="38" s="1"/>
  <c r="O514" i="38"/>
  <c r="O513" i="38" s="1"/>
  <c r="S520" i="38" s="1"/>
  <c r="K371" i="38"/>
  <c r="K370" i="38" s="1"/>
  <c r="J371" i="38"/>
  <c r="J370" i="38" s="1"/>
  <c r="K531" i="38"/>
  <c r="M32" i="54"/>
  <c r="I48" i="54" s="1"/>
  <c r="N31" i="54"/>
  <c r="M371" i="42"/>
  <c r="N371" i="42"/>
  <c r="M440" i="39"/>
  <c r="N440" i="39"/>
  <c r="H371" i="17"/>
  <c r="K369" i="17" s="1"/>
  <c r="I371" i="17"/>
  <c r="H478" i="45"/>
  <c r="K476" i="45" s="1"/>
  <c r="I478" i="45"/>
  <c r="N386" i="50"/>
  <c r="M386" i="50"/>
  <c r="N478" i="50"/>
  <c r="M478" i="50"/>
  <c r="O547" i="39"/>
  <c r="O546" i="39" s="1"/>
  <c r="S522" i="39" s="1"/>
  <c r="P547" i="39"/>
  <c r="P546" i="39" s="1"/>
  <c r="I460" i="37"/>
  <c r="H460" i="37"/>
  <c r="M386" i="38"/>
  <c r="N386" i="38"/>
  <c r="M547" i="38"/>
  <c r="N547" i="38"/>
  <c r="N31" i="46"/>
  <c r="M32" i="46"/>
  <c r="I48" i="46" s="1"/>
  <c r="I30" i="62"/>
  <c r="K29" i="62"/>
  <c r="P19" i="62" s="1"/>
  <c r="K29" i="63"/>
  <c r="M493" i="43"/>
  <c r="N493" i="43"/>
  <c r="I532" i="53"/>
  <c r="H532" i="53"/>
  <c r="K530" i="53" s="1"/>
  <c r="M532" i="45"/>
  <c r="N532" i="45"/>
  <c r="H493" i="38"/>
  <c r="I493" i="38"/>
  <c r="P440" i="37"/>
  <c r="P439" i="37" s="1"/>
  <c r="O440" i="37"/>
  <c r="O439" i="37" s="1"/>
  <c r="S415" i="37" s="1"/>
  <c r="P10" i="40"/>
  <c r="C13" i="40" s="1"/>
  <c r="C56" i="40" s="1"/>
  <c r="P11" i="40"/>
  <c r="E13" i="40" s="1"/>
  <c r="I56" i="40" s="1"/>
  <c r="C10" i="40"/>
  <c r="O478" i="42"/>
  <c r="O477" i="42" s="1"/>
  <c r="P478" i="42"/>
  <c r="J353" i="55"/>
  <c r="J352" i="55" s="1"/>
  <c r="R359" i="55" s="1"/>
  <c r="K353" i="55"/>
  <c r="K352" i="55" s="1"/>
  <c r="M371" i="37"/>
  <c r="N371" i="37"/>
  <c r="M478" i="38"/>
  <c r="N478" i="38"/>
  <c r="K514" i="37"/>
  <c r="K513" i="37" s="1"/>
  <c r="J514" i="37"/>
  <c r="J513" i="37" s="1"/>
  <c r="R520" i="37" s="1"/>
  <c r="K492" i="17"/>
  <c r="E35" i="17" s="1"/>
  <c r="J439" i="37"/>
  <c r="R415" i="37" s="1"/>
  <c r="J532" i="49"/>
  <c r="J531" i="49" s="1"/>
  <c r="R521" i="49" s="1"/>
  <c r="K532" i="49"/>
  <c r="K478" i="51"/>
  <c r="J478" i="51"/>
  <c r="J477" i="51" s="1"/>
  <c r="N478" i="45"/>
  <c r="M478" i="45"/>
  <c r="P371" i="45"/>
  <c r="O371" i="45"/>
  <c r="O370" i="45" s="1"/>
  <c r="H425" i="38"/>
  <c r="K423" i="38" s="1"/>
  <c r="I425" i="38"/>
  <c r="J440" i="38"/>
  <c r="J439" i="38" s="1"/>
  <c r="R415" i="38" s="1"/>
  <c r="K440" i="38"/>
  <c r="K439" i="38" s="1"/>
  <c r="H425" i="37"/>
  <c r="K423" i="37" s="1"/>
  <c r="I425" i="37"/>
  <c r="M478" i="17"/>
  <c r="N478" i="17"/>
  <c r="M440" i="17"/>
  <c r="N440" i="17"/>
  <c r="K439" i="37"/>
  <c r="O459" i="53" l="1"/>
  <c r="K492" i="55"/>
  <c r="X12" i="58"/>
  <c r="W12" i="58"/>
  <c r="V12" i="58"/>
  <c r="T12" i="58"/>
  <c r="U8" i="58"/>
  <c r="T8" i="58"/>
  <c r="X8" i="58"/>
  <c r="V8" i="58"/>
  <c r="Y11" i="58"/>
  <c r="Z11" i="58" s="1"/>
  <c r="S468" i="38"/>
  <c r="C36" i="38"/>
  <c r="R468" i="45"/>
  <c r="C35" i="45"/>
  <c r="R468" i="17"/>
  <c r="C35" i="17"/>
  <c r="R468" i="47"/>
  <c r="C35" i="47"/>
  <c r="R467" i="50"/>
  <c r="C30" i="50"/>
  <c r="S468" i="46"/>
  <c r="C36" i="46"/>
  <c r="S466" i="50"/>
  <c r="C26" i="50"/>
  <c r="R467" i="52"/>
  <c r="C30" i="52"/>
  <c r="AD6" i="52" s="1"/>
  <c r="R466" i="43"/>
  <c r="C25" i="43"/>
  <c r="R466" i="51"/>
  <c r="C25" i="51"/>
  <c r="R467" i="46"/>
  <c r="C30" i="46"/>
  <c r="I478" i="41"/>
  <c r="K478" i="41" s="1"/>
  <c r="K477" i="41" s="1"/>
  <c r="E30" i="41" s="1"/>
  <c r="S466" i="38"/>
  <c r="C26" i="38"/>
  <c r="S467" i="43"/>
  <c r="C31" i="43"/>
  <c r="AD7" i="43" s="1"/>
  <c r="S466" i="41"/>
  <c r="C26" i="41"/>
  <c r="S467" i="55"/>
  <c r="C31" i="55"/>
  <c r="S468" i="53"/>
  <c r="C36" i="53"/>
  <c r="R468" i="50"/>
  <c r="C35" i="50"/>
  <c r="R466" i="47"/>
  <c r="C25" i="47"/>
  <c r="S468" i="44"/>
  <c r="C36" i="44"/>
  <c r="S466" i="37"/>
  <c r="C26" i="37"/>
  <c r="AC7" i="37" s="1"/>
  <c r="S466" i="54"/>
  <c r="C26" i="54"/>
  <c r="S466" i="48"/>
  <c r="C26" i="48"/>
  <c r="AC7" i="48" s="1"/>
  <c r="R466" i="38"/>
  <c r="C25" i="38"/>
  <c r="S466" i="53"/>
  <c r="C26" i="53"/>
  <c r="R467" i="43"/>
  <c r="C30" i="43"/>
  <c r="S468" i="50"/>
  <c r="C36" i="50"/>
  <c r="R468" i="43"/>
  <c r="C35" i="43"/>
  <c r="R467" i="40"/>
  <c r="C30" i="40"/>
  <c r="P492" i="48"/>
  <c r="E36" i="48" s="1"/>
  <c r="S467" i="41"/>
  <c r="C31" i="41"/>
  <c r="S466" i="17"/>
  <c r="C26" i="17"/>
  <c r="AC7" i="17" s="1"/>
  <c r="R467" i="37"/>
  <c r="C30" i="37"/>
  <c r="AD6" i="37" s="1"/>
  <c r="S467" i="42"/>
  <c r="C31" i="42"/>
  <c r="R467" i="53"/>
  <c r="C30" i="53"/>
  <c r="R467" i="51"/>
  <c r="C30" i="51"/>
  <c r="R467" i="17"/>
  <c r="C30" i="17"/>
  <c r="R468" i="41"/>
  <c r="C35" i="41"/>
  <c r="R468" i="55"/>
  <c r="C35" i="55"/>
  <c r="R466" i="54"/>
  <c r="C25" i="54"/>
  <c r="R466" i="41"/>
  <c r="C25" i="41"/>
  <c r="S466" i="40"/>
  <c r="C26" i="40"/>
  <c r="S468" i="42"/>
  <c r="C36" i="42"/>
  <c r="S466" i="49"/>
  <c r="C26" i="49"/>
  <c r="R468" i="48"/>
  <c r="C35" i="48"/>
  <c r="S468" i="48"/>
  <c r="C36" i="48"/>
  <c r="AB7" i="48" s="1"/>
  <c r="S467" i="51"/>
  <c r="C31" i="51"/>
  <c r="R467" i="38"/>
  <c r="C30" i="38"/>
  <c r="R468" i="52"/>
  <c r="C35" i="52"/>
  <c r="R466" i="17"/>
  <c r="C25" i="17"/>
  <c r="E35" i="55"/>
  <c r="R467" i="39"/>
  <c r="C30" i="39"/>
  <c r="AD6" i="39" s="1"/>
  <c r="S467" i="39"/>
  <c r="C31" i="39"/>
  <c r="R466" i="39"/>
  <c r="C25" i="39"/>
  <c r="AC6" i="39" s="1"/>
  <c r="P440" i="44"/>
  <c r="P439" i="44" s="1"/>
  <c r="K371" i="54"/>
  <c r="K370" i="54" s="1"/>
  <c r="K353" i="48"/>
  <c r="K352" i="48" s="1"/>
  <c r="Y19" i="58"/>
  <c r="Z19" i="58" s="1"/>
  <c r="J532" i="52"/>
  <c r="J531" i="52" s="1"/>
  <c r="R521" i="52" s="1"/>
  <c r="O440" i="52"/>
  <c r="O439" i="52" s="1"/>
  <c r="S415" i="52" s="1"/>
  <c r="P532" i="42"/>
  <c r="P531" i="42" s="1"/>
  <c r="O478" i="52"/>
  <c r="O477" i="52" s="1"/>
  <c r="K371" i="52"/>
  <c r="K370" i="52" s="1"/>
  <c r="K460" i="17"/>
  <c r="K459" i="17" s="1"/>
  <c r="E25" i="17" s="1"/>
  <c r="K531" i="49"/>
  <c r="Y17" i="58"/>
  <c r="Z17" i="58" s="1"/>
  <c r="K424" i="47"/>
  <c r="Y23" i="58"/>
  <c r="Z23" i="58" s="1"/>
  <c r="K531" i="39"/>
  <c r="Y27" i="58"/>
  <c r="Z27" i="58" s="1"/>
  <c r="J493" i="54"/>
  <c r="J492" i="54" s="1"/>
  <c r="J407" i="50"/>
  <c r="J406" i="50" s="1"/>
  <c r="R413" i="50" s="1"/>
  <c r="J425" i="51"/>
  <c r="J424" i="51" s="1"/>
  <c r="R414" i="51" s="1"/>
  <c r="P477" i="39"/>
  <c r="E31" i="39" s="1"/>
  <c r="K477" i="51"/>
  <c r="E30" i="51" s="1"/>
  <c r="P493" i="46"/>
  <c r="P492" i="46" s="1"/>
  <c r="E36" i="46" s="1"/>
  <c r="P425" i="53"/>
  <c r="P424" i="53" s="1"/>
  <c r="P532" i="39"/>
  <c r="P531" i="39" s="1"/>
  <c r="Y15" i="58"/>
  <c r="Z15" i="58" s="1"/>
  <c r="O386" i="55"/>
  <c r="O385" i="55" s="1"/>
  <c r="S361" i="55" s="1"/>
  <c r="P493" i="42"/>
  <c r="P492" i="42" s="1"/>
  <c r="E36" i="42" s="1"/>
  <c r="O425" i="55"/>
  <c r="O424" i="55" s="1"/>
  <c r="S414" i="55" s="1"/>
  <c r="K353" i="44"/>
  <c r="K352" i="44" s="1"/>
  <c r="J460" i="52"/>
  <c r="J459" i="52" s="1"/>
  <c r="S361" i="48"/>
  <c r="P371" i="43"/>
  <c r="P370" i="43" s="1"/>
  <c r="K424" i="17"/>
  <c r="Y25" i="58"/>
  <c r="Z25" i="58" s="1"/>
  <c r="AC7" i="38"/>
  <c r="J425" i="46"/>
  <c r="J424" i="46" s="1"/>
  <c r="R414" i="46" s="1"/>
  <c r="O386" i="42"/>
  <c r="O385" i="42" s="1"/>
  <c r="P547" i="50"/>
  <c r="P546" i="50" s="1"/>
  <c r="P424" i="48"/>
  <c r="K424" i="39"/>
  <c r="K425" i="52"/>
  <c r="K424" i="52" s="1"/>
  <c r="J547" i="37"/>
  <c r="J546" i="37" s="1"/>
  <c r="R522" i="37" s="1"/>
  <c r="J478" i="44"/>
  <c r="J477" i="44" s="1"/>
  <c r="J493" i="37"/>
  <c r="J492" i="37" s="1"/>
  <c r="P425" i="52"/>
  <c r="P424" i="52" s="1"/>
  <c r="P424" i="42"/>
  <c r="J547" i="45"/>
  <c r="J546" i="45" s="1"/>
  <c r="R522" i="45" s="1"/>
  <c r="G25" i="38"/>
  <c r="AY12" i="38" s="1"/>
  <c r="AY18" i="38" s="1"/>
  <c r="P353" i="40"/>
  <c r="P352" i="40" s="1"/>
  <c r="Y12" i="58"/>
  <c r="Z12" i="58" s="1"/>
  <c r="Y20" i="58"/>
  <c r="Z20" i="58" s="1"/>
  <c r="Y26" i="58"/>
  <c r="Z26" i="58" s="1"/>
  <c r="Y18" i="58"/>
  <c r="Z18" i="58" s="1"/>
  <c r="Y10" i="58"/>
  <c r="Z10" i="58" s="1"/>
  <c r="Y22" i="58"/>
  <c r="Z22" i="58" s="1"/>
  <c r="Y14" i="58"/>
  <c r="Z14" i="58" s="1"/>
  <c r="Y16" i="58"/>
  <c r="Z16" i="58" s="1"/>
  <c r="Y24" i="58"/>
  <c r="Z24" i="58" s="1"/>
  <c r="Y21" i="58"/>
  <c r="Z21" i="58" s="1"/>
  <c r="T9" i="58"/>
  <c r="X9" i="58"/>
  <c r="U9" i="58"/>
  <c r="W9" i="58"/>
  <c r="V9" i="58"/>
  <c r="R361" i="54"/>
  <c r="R360" i="52"/>
  <c r="P371" i="47"/>
  <c r="P370" i="47" s="1"/>
  <c r="P493" i="44"/>
  <c r="P492" i="44" s="1"/>
  <c r="E36" i="44" s="1"/>
  <c r="K460" i="51"/>
  <c r="K459" i="51" s="1"/>
  <c r="E25" i="51" s="1"/>
  <c r="K478" i="52"/>
  <c r="K477" i="52" s="1"/>
  <c r="E30" i="52" s="1"/>
  <c r="J532" i="17"/>
  <c r="J531" i="17" s="1"/>
  <c r="R521" i="17" s="1"/>
  <c r="P531" i="41"/>
  <c r="P386" i="41"/>
  <c r="P385" i="41" s="1"/>
  <c r="O386" i="41"/>
  <c r="O385" i="41" s="1"/>
  <c r="R360" i="37"/>
  <c r="S359" i="42"/>
  <c r="K514" i="40"/>
  <c r="K513" i="40" s="1"/>
  <c r="O547" i="48"/>
  <c r="O546" i="48" s="1"/>
  <c r="S522" i="48" s="1"/>
  <c r="J425" i="53"/>
  <c r="J424" i="53" s="1"/>
  <c r="R414" i="53" s="1"/>
  <c r="K425" i="53"/>
  <c r="K424" i="53" s="1"/>
  <c r="K531" i="17"/>
  <c r="P371" i="17"/>
  <c r="P370" i="17" s="1"/>
  <c r="O353" i="44"/>
  <c r="O352" i="44" s="1"/>
  <c r="O353" i="47"/>
  <c r="O352" i="47" s="1"/>
  <c r="P353" i="47"/>
  <c r="P352" i="47" s="1"/>
  <c r="K478" i="50"/>
  <c r="K477" i="50" s="1"/>
  <c r="E30" i="50" s="1"/>
  <c r="S359" i="17"/>
  <c r="P371" i="50"/>
  <c r="P370" i="50" s="1"/>
  <c r="K514" i="47"/>
  <c r="K513" i="47" s="1"/>
  <c r="J371" i="55"/>
  <c r="J370" i="55" s="1"/>
  <c r="K371" i="55"/>
  <c r="K370" i="55" s="1"/>
  <c r="P440" i="41"/>
  <c r="P439" i="41" s="1"/>
  <c r="O440" i="41"/>
  <c r="O439" i="41" s="1"/>
  <c r="S415" i="41" s="1"/>
  <c r="S360" i="43"/>
  <c r="J478" i="54"/>
  <c r="J477" i="54" s="1"/>
  <c r="K478" i="54"/>
  <c r="K477" i="54" s="1"/>
  <c r="E30" i="54" s="1"/>
  <c r="J493" i="42"/>
  <c r="J492" i="42" s="1"/>
  <c r="K493" i="42"/>
  <c r="K492" i="42" s="1"/>
  <c r="E35" i="42" s="1"/>
  <c r="K493" i="41"/>
  <c r="K492" i="41" s="1"/>
  <c r="E35" i="41" s="1"/>
  <c r="P440" i="50"/>
  <c r="P439" i="50" s="1"/>
  <c r="O440" i="50"/>
  <c r="O439" i="50" s="1"/>
  <c r="S415" i="50" s="1"/>
  <c r="K531" i="45"/>
  <c r="P353" i="52"/>
  <c r="P352" i="52" s="1"/>
  <c r="P370" i="44"/>
  <c r="O353" i="53"/>
  <c r="O352" i="53" s="1"/>
  <c r="P353" i="53"/>
  <c r="P352" i="53" s="1"/>
  <c r="O425" i="38"/>
  <c r="O424" i="38" s="1"/>
  <c r="S414" i="38" s="1"/>
  <c r="P425" i="38"/>
  <c r="O440" i="46"/>
  <c r="O439" i="46" s="1"/>
  <c r="S415" i="46" s="1"/>
  <c r="P440" i="46"/>
  <c r="P439" i="46" s="1"/>
  <c r="K440" i="54"/>
  <c r="K439" i="54" s="1"/>
  <c r="J440" i="54"/>
  <c r="J439" i="54" s="1"/>
  <c r="R415" i="54" s="1"/>
  <c r="P386" i="43"/>
  <c r="P385" i="43" s="1"/>
  <c r="O386" i="43"/>
  <c r="O385" i="43" s="1"/>
  <c r="K514" i="39"/>
  <c r="K513" i="39" s="1"/>
  <c r="J514" i="39"/>
  <c r="J513" i="39" s="1"/>
  <c r="R520" i="39" s="1"/>
  <c r="O440" i="40"/>
  <c r="O439" i="40" s="1"/>
  <c r="S415" i="40" s="1"/>
  <c r="P440" i="40"/>
  <c r="P439" i="40" s="1"/>
  <c r="J478" i="42"/>
  <c r="J477" i="42" s="1"/>
  <c r="K478" i="42"/>
  <c r="K477" i="42" s="1"/>
  <c r="E30" i="42" s="1"/>
  <c r="P440" i="55"/>
  <c r="P439" i="55" s="1"/>
  <c r="O407" i="45"/>
  <c r="O406" i="45" s="1"/>
  <c r="S413" i="45" s="1"/>
  <c r="P407" i="45"/>
  <c r="P406" i="45" s="1"/>
  <c r="J440" i="43"/>
  <c r="J439" i="43" s="1"/>
  <c r="R415" i="43" s="1"/>
  <c r="K440" i="43"/>
  <c r="K439" i="43" s="1"/>
  <c r="K425" i="49"/>
  <c r="K424" i="49" s="1"/>
  <c r="J425" i="49"/>
  <c r="J424" i="49" s="1"/>
  <c r="R414" i="49" s="1"/>
  <c r="J353" i="40"/>
  <c r="J352" i="40" s="1"/>
  <c r="K353" i="40"/>
  <c r="K352" i="40" s="1"/>
  <c r="P532" i="43"/>
  <c r="O532" i="43"/>
  <c r="O531" i="43" s="1"/>
  <c r="S521" i="43" s="1"/>
  <c r="P547" i="44"/>
  <c r="P546" i="44" s="1"/>
  <c r="O547" i="44"/>
  <c r="O546" i="44" s="1"/>
  <c r="S522" i="44" s="1"/>
  <c r="P371" i="53"/>
  <c r="O371" i="53"/>
  <c r="O370" i="53" s="1"/>
  <c r="O514" i="49"/>
  <c r="O513" i="49" s="1"/>
  <c r="S520" i="49" s="1"/>
  <c r="P514" i="49"/>
  <c r="P513" i="49" s="1"/>
  <c r="P386" i="47"/>
  <c r="P385" i="47" s="1"/>
  <c r="O460" i="43"/>
  <c r="O459" i="43" s="1"/>
  <c r="P460" i="43"/>
  <c r="P459" i="43" s="1"/>
  <c r="E26" i="43" s="1"/>
  <c r="O440" i="47"/>
  <c r="O439" i="47" s="1"/>
  <c r="S415" i="47" s="1"/>
  <c r="P440" i="47"/>
  <c r="P439" i="47" s="1"/>
  <c r="K460" i="45"/>
  <c r="K459" i="45" s="1"/>
  <c r="E25" i="45" s="1"/>
  <c r="J460" i="45"/>
  <c r="J459" i="45" s="1"/>
  <c r="K532" i="51"/>
  <c r="K531" i="51" s="1"/>
  <c r="J532" i="51"/>
  <c r="J531" i="51" s="1"/>
  <c r="R521" i="51" s="1"/>
  <c r="K386" i="41"/>
  <c r="K385" i="41" s="1"/>
  <c r="J386" i="41"/>
  <c r="J385" i="41" s="1"/>
  <c r="P532" i="50"/>
  <c r="O532" i="50"/>
  <c r="O531" i="50" s="1"/>
  <c r="S521" i="50" s="1"/>
  <c r="P493" i="40"/>
  <c r="P492" i="40" s="1"/>
  <c r="E36" i="40" s="1"/>
  <c r="O493" i="40"/>
  <c r="O492" i="40" s="1"/>
  <c r="J371" i="51"/>
  <c r="J370" i="51" s="1"/>
  <c r="K371" i="51"/>
  <c r="K370" i="51" s="1"/>
  <c r="O386" i="40"/>
  <c r="O385" i="40" s="1"/>
  <c r="P386" i="40"/>
  <c r="P385" i="40" s="1"/>
  <c r="O460" i="55"/>
  <c r="O459" i="55" s="1"/>
  <c r="P460" i="55"/>
  <c r="P459" i="55" s="1"/>
  <c r="E26" i="55" s="1"/>
  <c r="AC6" i="38"/>
  <c r="R359" i="38"/>
  <c r="K424" i="54"/>
  <c r="J478" i="48"/>
  <c r="J477" i="48" s="1"/>
  <c r="K478" i="48"/>
  <c r="K477" i="48" s="1"/>
  <c r="E30" i="48" s="1"/>
  <c r="P370" i="49"/>
  <c r="P493" i="51"/>
  <c r="P492" i="51" s="1"/>
  <c r="E36" i="51" s="1"/>
  <c r="O493" i="51"/>
  <c r="O492" i="51" s="1"/>
  <c r="S360" i="49"/>
  <c r="J460" i="55"/>
  <c r="J459" i="55" s="1"/>
  <c r="K460" i="55"/>
  <c r="K459" i="55" s="1"/>
  <c r="E25" i="55" s="1"/>
  <c r="P386" i="46"/>
  <c r="P385" i="46" s="1"/>
  <c r="O386" i="46"/>
  <c r="O385" i="46" s="1"/>
  <c r="O532" i="55"/>
  <c r="O531" i="55" s="1"/>
  <c r="S521" i="55" s="1"/>
  <c r="P532" i="55"/>
  <c r="K532" i="55"/>
  <c r="K531" i="55" s="1"/>
  <c r="J532" i="55"/>
  <c r="J531" i="55" s="1"/>
  <c r="R521" i="55" s="1"/>
  <c r="P532" i="46"/>
  <c r="O532" i="46"/>
  <c r="O531" i="46" s="1"/>
  <c r="S521" i="46" s="1"/>
  <c r="O514" i="43"/>
  <c r="O513" i="43" s="1"/>
  <c r="S520" i="43" s="1"/>
  <c r="P514" i="43"/>
  <c r="P513" i="43" s="1"/>
  <c r="O532" i="40"/>
  <c r="O531" i="40" s="1"/>
  <c r="S521" i="40" s="1"/>
  <c r="K547" i="38"/>
  <c r="K546" i="38" s="1"/>
  <c r="J547" i="38"/>
  <c r="J546" i="38" s="1"/>
  <c r="R522" i="38" s="1"/>
  <c r="K493" i="49"/>
  <c r="K492" i="49" s="1"/>
  <c r="E35" i="49" s="1"/>
  <c r="J493" i="49"/>
  <c r="J492" i="49" s="1"/>
  <c r="P478" i="53"/>
  <c r="O478" i="53"/>
  <c r="O477" i="53" s="1"/>
  <c r="P477" i="51"/>
  <c r="E31" i="51" s="1"/>
  <c r="S467" i="37"/>
  <c r="P477" i="37"/>
  <c r="E31" i="37" s="1"/>
  <c r="K477" i="17"/>
  <c r="E30" i="17" s="1"/>
  <c r="K460" i="46"/>
  <c r="K459" i="46" s="1"/>
  <c r="E25" i="46" s="1"/>
  <c r="J460" i="46"/>
  <c r="J459" i="46" s="1"/>
  <c r="J460" i="40"/>
  <c r="J459" i="40" s="1"/>
  <c r="K460" i="40"/>
  <c r="K459" i="40" s="1"/>
  <c r="E25" i="40" s="1"/>
  <c r="P424" i="41"/>
  <c r="J407" i="40"/>
  <c r="J406" i="40" s="1"/>
  <c r="R413" i="40" s="1"/>
  <c r="K407" i="40"/>
  <c r="K406" i="40" s="1"/>
  <c r="R360" i="43"/>
  <c r="AD6" i="43"/>
  <c r="K493" i="53"/>
  <c r="K492" i="53" s="1"/>
  <c r="E35" i="53" s="1"/>
  <c r="G35" i="53" s="1"/>
  <c r="AR12" i="53" s="1"/>
  <c r="AR18" i="53" s="1"/>
  <c r="J493" i="53"/>
  <c r="J492" i="53" s="1"/>
  <c r="J440" i="50"/>
  <c r="J439" i="50" s="1"/>
  <c r="R415" i="50" s="1"/>
  <c r="K440" i="50"/>
  <c r="K439" i="50" s="1"/>
  <c r="O353" i="50"/>
  <c r="O352" i="50" s="1"/>
  <c r="P353" i="50"/>
  <c r="P352" i="50" s="1"/>
  <c r="S359" i="40"/>
  <c r="AC7" i="40"/>
  <c r="K493" i="39"/>
  <c r="K492" i="39" s="1"/>
  <c r="E35" i="39" s="1"/>
  <c r="J493" i="39"/>
  <c r="J492" i="39" s="1"/>
  <c r="O478" i="40"/>
  <c r="O477" i="40" s="1"/>
  <c r="P478" i="40"/>
  <c r="O371" i="38"/>
  <c r="O370" i="38" s="1"/>
  <c r="P371" i="38"/>
  <c r="R359" i="42"/>
  <c r="P547" i="40"/>
  <c r="P546" i="40" s="1"/>
  <c r="O547" i="40"/>
  <c r="O546" i="40" s="1"/>
  <c r="S522" i="40" s="1"/>
  <c r="K440" i="53"/>
  <c r="K439" i="53" s="1"/>
  <c r="J440" i="53"/>
  <c r="J439" i="53" s="1"/>
  <c r="R415" i="53" s="1"/>
  <c r="K493" i="44"/>
  <c r="K492" i="44" s="1"/>
  <c r="E35" i="44" s="1"/>
  <c r="J493" i="44"/>
  <c r="J492" i="44" s="1"/>
  <c r="P460" i="45"/>
  <c r="P459" i="45" s="1"/>
  <c r="E26" i="45" s="1"/>
  <c r="O460" i="45"/>
  <c r="O459" i="45" s="1"/>
  <c r="P514" i="51"/>
  <c r="P513" i="51" s="1"/>
  <c r="O514" i="51"/>
  <c r="O513" i="51" s="1"/>
  <c r="S520" i="51" s="1"/>
  <c r="O407" i="43"/>
  <c r="O406" i="43" s="1"/>
  <c r="S413" i="43" s="1"/>
  <c r="P407" i="43"/>
  <c r="P406" i="43" s="1"/>
  <c r="R359" i="47"/>
  <c r="AC6" i="47"/>
  <c r="O514" i="47"/>
  <c r="O513" i="47" s="1"/>
  <c r="S520" i="47" s="1"/>
  <c r="P514" i="47"/>
  <c r="P513" i="47" s="1"/>
  <c r="O407" i="51"/>
  <c r="O406" i="51" s="1"/>
  <c r="S413" i="51" s="1"/>
  <c r="P407" i="51"/>
  <c r="P406" i="51" s="1"/>
  <c r="P532" i="49"/>
  <c r="O532" i="49"/>
  <c r="O531" i="49" s="1"/>
  <c r="S521" i="49" s="1"/>
  <c r="O386" i="17"/>
  <c r="O385" i="17" s="1"/>
  <c r="P493" i="55"/>
  <c r="P492" i="55" s="1"/>
  <c r="E36" i="55" s="1"/>
  <c r="O493" i="55"/>
  <c r="O492" i="55" s="1"/>
  <c r="J371" i="44"/>
  <c r="J370" i="44" s="1"/>
  <c r="K371" i="44"/>
  <c r="K370" i="44" s="1"/>
  <c r="K425" i="50"/>
  <c r="K424" i="50" s="1"/>
  <c r="J425" i="50"/>
  <c r="J424" i="50" s="1"/>
  <c r="R414" i="50" s="1"/>
  <c r="J440" i="39"/>
  <c r="J439" i="39" s="1"/>
  <c r="R415" i="39" s="1"/>
  <c r="K440" i="39"/>
  <c r="K439" i="39" s="1"/>
  <c r="O460" i="51"/>
  <c r="O459" i="51" s="1"/>
  <c r="P460" i="51"/>
  <c r="P459" i="51" s="1"/>
  <c r="E26" i="51" s="1"/>
  <c r="O386" i="45"/>
  <c r="O385" i="45" s="1"/>
  <c r="P386" i="45"/>
  <c r="P385" i="45" s="1"/>
  <c r="P407" i="17"/>
  <c r="P406" i="17" s="1"/>
  <c r="O407" i="17"/>
  <c r="O406" i="17" s="1"/>
  <c r="S413" i="17" s="1"/>
  <c r="P407" i="46"/>
  <c r="P406" i="46" s="1"/>
  <c r="O407" i="46"/>
  <c r="O406" i="46" s="1"/>
  <c r="S413" i="46" s="1"/>
  <c r="J353" i="53"/>
  <c r="J352" i="53" s="1"/>
  <c r="K353" i="53"/>
  <c r="K352" i="53" s="1"/>
  <c r="O532" i="52"/>
  <c r="O531" i="52" s="1"/>
  <c r="S521" i="52" s="1"/>
  <c r="P532" i="52"/>
  <c r="P353" i="55"/>
  <c r="P352" i="55" s="1"/>
  <c r="O353" i="55"/>
  <c r="O352" i="55" s="1"/>
  <c r="S359" i="55" s="1"/>
  <c r="O407" i="44"/>
  <c r="O406" i="44" s="1"/>
  <c r="S413" i="44" s="1"/>
  <c r="P407" i="44"/>
  <c r="P406" i="44" s="1"/>
  <c r="S360" i="52"/>
  <c r="P370" i="40"/>
  <c r="J386" i="47"/>
  <c r="J385" i="47" s="1"/>
  <c r="K386" i="47"/>
  <c r="K385" i="47" s="1"/>
  <c r="P478" i="47"/>
  <c r="O478" i="47"/>
  <c r="O477" i="47" s="1"/>
  <c r="O493" i="54"/>
  <c r="O492" i="54" s="1"/>
  <c r="P493" i="54"/>
  <c r="P492" i="54" s="1"/>
  <c r="E36" i="54" s="1"/>
  <c r="G35" i="54" s="1"/>
  <c r="AR12" i="54" s="1"/>
  <c r="AR18" i="54" s="1"/>
  <c r="P371" i="39"/>
  <c r="O371" i="39"/>
  <c r="O370" i="39" s="1"/>
  <c r="P493" i="52"/>
  <c r="P492" i="52" s="1"/>
  <c r="E36" i="52" s="1"/>
  <c r="O493" i="52"/>
  <c r="O492" i="52" s="1"/>
  <c r="P407" i="53"/>
  <c r="P406" i="53" s="1"/>
  <c r="O407" i="53"/>
  <c r="O406" i="53" s="1"/>
  <c r="S413" i="53" s="1"/>
  <c r="K425" i="42"/>
  <c r="K424" i="42" s="1"/>
  <c r="J425" i="42"/>
  <c r="J424" i="42" s="1"/>
  <c r="R414" i="42" s="1"/>
  <c r="K440" i="52"/>
  <c r="K439" i="52" s="1"/>
  <c r="J440" i="52"/>
  <c r="J439" i="52" s="1"/>
  <c r="R415" i="52" s="1"/>
  <c r="K460" i="48"/>
  <c r="K459" i="48" s="1"/>
  <c r="E25" i="48" s="1"/>
  <c r="G25" i="48" s="1"/>
  <c r="AY12" i="48" s="1"/>
  <c r="AY18" i="48" s="1"/>
  <c r="J460" i="48"/>
  <c r="J459" i="48" s="1"/>
  <c r="J440" i="55"/>
  <c r="J439" i="55" s="1"/>
  <c r="R415" i="55" s="1"/>
  <c r="K440" i="55"/>
  <c r="K439" i="55" s="1"/>
  <c r="P353" i="54"/>
  <c r="P352" i="54" s="1"/>
  <c r="O353" i="54"/>
  <c r="O352" i="54" s="1"/>
  <c r="O407" i="48"/>
  <c r="O406" i="48" s="1"/>
  <c r="S413" i="48" s="1"/>
  <c r="P407" i="48"/>
  <c r="P406" i="48" s="1"/>
  <c r="J371" i="46"/>
  <c r="J370" i="46" s="1"/>
  <c r="K371" i="46"/>
  <c r="K370" i="46" s="1"/>
  <c r="O440" i="45"/>
  <c r="O439" i="45" s="1"/>
  <c r="S415" i="45" s="1"/>
  <c r="P440" i="45"/>
  <c r="P439" i="45" s="1"/>
  <c r="J547" i="53"/>
  <c r="J546" i="53" s="1"/>
  <c r="R522" i="53" s="1"/>
  <c r="K547" i="53"/>
  <c r="K546" i="53" s="1"/>
  <c r="K514" i="43"/>
  <c r="K513" i="43" s="1"/>
  <c r="J514" i="43"/>
  <c r="J513" i="43" s="1"/>
  <c r="R520" i="43" s="1"/>
  <c r="K407" i="54"/>
  <c r="K406" i="54" s="1"/>
  <c r="J407" i="54"/>
  <c r="J406" i="54" s="1"/>
  <c r="R413" i="54" s="1"/>
  <c r="J386" i="50"/>
  <c r="J385" i="50" s="1"/>
  <c r="K386" i="50"/>
  <c r="K385" i="50" s="1"/>
  <c r="K353" i="49"/>
  <c r="K352" i="49" s="1"/>
  <c r="J353" i="49"/>
  <c r="J352" i="49" s="1"/>
  <c r="P514" i="45"/>
  <c r="P513" i="45" s="1"/>
  <c r="O514" i="45"/>
  <c r="O513" i="45" s="1"/>
  <c r="S520" i="45" s="1"/>
  <c r="R360" i="53"/>
  <c r="AD6" i="53"/>
  <c r="O425" i="17"/>
  <c r="O424" i="17" s="1"/>
  <c r="S414" i="17" s="1"/>
  <c r="P425" i="17"/>
  <c r="P425" i="39"/>
  <c r="O425" i="39"/>
  <c r="O424" i="39" s="1"/>
  <c r="S414" i="39" s="1"/>
  <c r="J532" i="48"/>
  <c r="J531" i="48" s="1"/>
  <c r="R521" i="48" s="1"/>
  <c r="K532" i="48"/>
  <c r="K531" i="48" s="1"/>
  <c r="J371" i="50"/>
  <c r="J370" i="50" s="1"/>
  <c r="K371" i="50"/>
  <c r="K370" i="50" s="1"/>
  <c r="P477" i="55"/>
  <c r="E31" i="55" s="1"/>
  <c r="P478" i="54"/>
  <c r="O478" i="54"/>
  <c r="O477" i="54" s="1"/>
  <c r="O407" i="40"/>
  <c r="O406" i="40" s="1"/>
  <c r="S413" i="40" s="1"/>
  <c r="P407" i="40"/>
  <c r="P406" i="40" s="1"/>
  <c r="J440" i="47"/>
  <c r="J439" i="47" s="1"/>
  <c r="R415" i="47" s="1"/>
  <c r="K440" i="47"/>
  <c r="K439" i="47" s="1"/>
  <c r="K353" i="54"/>
  <c r="K352" i="54" s="1"/>
  <c r="J353" i="54"/>
  <c r="J352" i="54" s="1"/>
  <c r="O478" i="49"/>
  <c r="O477" i="49" s="1"/>
  <c r="P478" i="49"/>
  <c r="J371" i="42"/>
  <c r="J370" i="42" s="1"/>
  <c r="K371" i="42"/>
  <c r="K370" i="42" s="1"/>
  <c r="O460" i="46"/>
  <c r="O459" i="46" s="1"/>
  <c r="P460" i="46"/>
  <c r="P459" i="46" s="1"/>
  <c r="E26" i="46" s="1"/>
  <c r="K407" i="38"/>
  <c r="K406" i="38" s="1"/>
  <c r="J407" i="38"/>
  <c r="J406" i="38" s="1"/>
  <c r="R413" i="38" s="1"/>
  <c r="C46" i="41"/>
  <c r="P370" i="51"/>
  <c r="O371" i="54"/>
  <c r="O370" i="54" s="1"/>
  <c r="P371" i="54"/>
  <c r="S361" i="37"/>
  <c r="S361" i="49"/>
  <c r="K478" i="49"/>
  <c r="K477" i="49" s="1"/>
  <c r="E30" i="49" s="1"/>
  <c r="J478" i="49"/>
  <c r="J477" i="49" s="1"/>
  <c r="K386" i="42"/>
  <c r="K385" i="42" s="1"/>
  <c r="J386" i="42"/>
  <c r="J385" i="42" s="1"/>
  <c r="K547" i="50"/>
  <c r="K546" i="50" s="1"/>
  <c r="J547" i="50"/>
  <c r="J546" i="50" s="1"/>
  <c r="R522" i="50" s="1"/>
  <c r="O493" i="39"/>
  <c r="O492" i="39" s="1"/>
  <c r="P493" i="39"/>
  <c r="P492" i="39" s="1"/>
  <c r="E36" i="39" s="1"/>
  <c r="P532" i="37"/>
  <c r="O532" i="37"/>
  <c r="O531" i="37" s="1"/>
  <c r="S521" i="37" s="1"/>
  <c r="K407" i="52"/>
  <c r="K406" i="52" s="1"/>
  <c r="J407" i="52"/>
  <c r="J406" i="52" s="1"/>
  <c r="R413" i="52" s="1"/>
  <c r="J371" i="49"/>
  <c r="J370" i="49" s="1"/>
  <c r="K371" i="49"/>
  <c r="K370" i="49" s="1"/>
  <c r="K460" i="53"/>
  <c r="K459" i="53" s="1"/>
  <c r="E25" i="53" s="1"/>
  <c r="J460" i="53"/>
  <c r="J459" i="53" s="1"/>
  <c r="O460" i="42"/>
  <c r="O459" i="42" s="1"/>
  <c r="P460" i="42"/>
  <c r="P459" i="42" s="1"/>
  <c r="E26" i="42" s="1"/>
  <c r="K440" i="49"/>
  <c r="K439" i="49" s="1"/>
  <c r="J440" i="49"/>
  <c r="J439" i="49" s="1"/>
  <c r="R415" i="49" s="1"/>
  <c r="P477" i="52"/>
  <c r="E31" i="52" s="1"/>
  <c r="R360" i="39"/>
  <c r="P514" i="42"/>
  <c r="P513" i="42" s="1"/>
  <c r="O514" i="42"/>
  <c r="O513" i="42" s="1"/>
  <c r="S520" i="42" s="1"/>
  <c r="K514" i="46"/>
  <c r="K513" i="46" s="1"/>
  <c r="J514" i="46"/>
  <c r="J513" i="46" s="1"/>
  <c r="R520" i="46" s="1"/>
  <c r="O514" i="50"/>
  <c r="O513" i="50" s="1"/>
  <c r="S520" i="50" s="1"/>
  <c r="P514" i="50"/>
  <c r="P513" i="50" s="1"/>
  <c r="J547" i="47"/>
  <c r="J546" i="47" s="1"/>
  <c r="R522" i="47" s="1"/>
  <c r="K547" i="47"/>
  <c r="K546" i="47" s="1"/>
  <c r="P425" i="45"/>
  <c r="O425" i="45"/>
  <c r="O424" i="45" s="1"/>
  <c r="S414" i="45" s="1"/>
  <c r="O547" i="55"/>
  <c r="O546" i="55" s="1"/>
  <c r="S522" i="55" s="1"/>
  <c r="P547" i="55"/>
  <c r="P546" i="55" s="1"/>
  <c r="J425" i="41"/>
  <c r="J424" i="41" s="1"/>
  <c r="R414" i="41" s="1"/>
  <c r="K425" i="41"/>
  <c r="K424" i="41" s="1"/>
  <c r="N425" i="46"/>
  <c r="M425" i="46"/>
  <c r="O425" i="49"/>
  <c r="O424" i="49" s="1"/>
  <c r="S414" i="49" s="1"/>
  <c r="P425" i="49"/>
  <c r="P514" i="41"/>
  <c r="P513" i="41" s="1"/>
  <c r="O514" i="41"/>
  <c r="O513" i="41" s="1"/>
  <c r="S520" i="41" s="1"/>
  <c r="K532" i="40"/>
  <c r="K531" i="40" s="1"/>
  <c r="J532" i="40"/>
  <c r="J531" i="40" s="1"/>
  <c r="R521" i="40" s="1"/>
  <c r="P514" i="44"/>
  <c r="P513" i="44" s="1"/>
  <c r="O514" i="44"/>
  <c r="O513" i="44" s="1"/>
  <c r="S520" i="44" s="1"/>
  <c r="J440" i="51"/>
  <c r="J439" i="51" s="1"/>
  <c r="R415" i="51" s="1"/>
  <c r="K440" i="51"/>
  <c r="K439" i="51" s="1"/>
  <c r="J514" i="49"/>
  <c r="J513" i="49" s="1"/>
  <c r="R520" i="49" s="1"/>
  <c r="K514" i="49"/>
  <c r="K513" i="49" s="1"/>
  <c r="K371" i="45"/>
  <c r="K370" i="45" s="1"/>
  <c r="J371" i="45"/>
  <c r="J370" i="45" s="1"/>
  <c r="K514" i="48"/>
  <c r="K513" i="48" s="1"/>
  <c r="J514" i="48"/>
  <c r="J513" i="48" s="1"/>
  <c r="R520" i="48" s="1"/>
  <c r="P371" i="48"/>
  <c r="O371" i="48"/>
  <c r="O370" i="48" s="1"/>
  <c r="O493" i="41"/>
  <c r="O492" i="41" s="1"/>
  <c r="P493" i="41"/>
  <c r="P492" i="41" s="1"/>
  <c r="E36" i="41" s="1"/>
  <c r="O353" i="41"/>
  <c r="O352" i="41" s="1"/>
  <c r="P353" i="41"/>
  <c r="P352" i="41" s="1"/>
  <c r="K353" i="43"/>
  <c r="K352" i="43" s="1"/>
  <c r="G25" i="43" s="1"/>
  <c r="J353" i="43"/>
  <c r="J352" i="43" s="1"/>
  <c r="P493" i="37"/>
  <c r="P492" i="37" s="1"/>
  <c r="E36" i="37" s="1"/>
  <c r="O493" i="37"/>
  <c r="O492" i="37" s="1"/>
  <c r="P407" i="49"/>
  <c r="P406" i="49" s="1"/>
  <c r="O407" i="49"/>
  <c r="O406" i="49" s="1"/>
  <c r="S413" i="49" s="1"/>
  <c r="P493" i="45"/>
  <c r="P492" i="45" s="1"/>
  <c r="E36" i="45" s="1"/>
  <c r="O493" i="45"/>
  <c r="O492" i="45" s="1"/>
  <c r="R361" i="40"/>
  <c r="J440" i="45"/>
  <c r="J439" i="45" s="1"/>
  <c r="R415" i="45" s="1"/>
  <c r="K440" i="45"/>
  <c r="K439" i="45" s="1"/>
  <c r="O514" i="39"/>
  <c r="O513" i="39" s="1"/>
  <c r="S520" i="39" s="1"/>
  <c r="P514" i="39"/>
  <c r="P513" i="39" s="1"/>
  <c r="O425" i="43"/>
  <c r="O424" i="43" s="1"/>
  <c r="S414" i="43" s="1"/>
  <c r="P425" i="43"/>
  <c r="O493" i="17"/>
  <c r="O492" i="17" s="1"/>
  <c r="P493" i="17"/>
  <c r="P492" i="17" s="1"/>
  <c r="E36" i="17" s="1"/>
  <c r="G35" i="17" s="1"/>
  <c r="AR12" i="17" s="1"/>
  <c r="AR18" i="17" s="1"/>
  <c r="J478" i="47"/>
  <c r="J477" i="47" s="1"/>
  <c r="K478" i="47"/>
  <c r="K477" i="47" s="1"/>
  <c r="E30" i="47" s="1"/>
  <c r="O440" i="51"/>
  <c r="O439" i="51" s="1"/>
  <c r="S415" i="51" s="1"/>
  <c r="P440" i="51"/>
  <c r="P439" i="51" s="1"/>
  <c r="P514" i="53"/>
  <c r="P513" i="53" s="1"/>
  <c r="O514" i="53"/>
  <c r="O513" i="53" s="1"/>
  <c r="S520" i="53" s="1"/>
  <c r="J407" i="55"/>
  <c r="J406" i="55" s="1"/>
  <c r="R413" i="55" s="1"/>
  <c r="K407" i="55"/>
  <c r="K406" i="55" s="1"/>
  <c r="O386" i="44"/>
  <c r="O385" i="44" s="1"/>
  <c r="P386" i="44"/>
  <c r="P385" i="44" s="1"/>
  <c r="P477" i="43"/>
  <c r="E31" i="43" s="1"/>
  <c r="S360" i="44"/>
  <c r="O532" i="54"/>
  <c r="O531" i="54" s="1"/>
  <c r="S521" i="54" s="1"/>
  <c r="P532" i="54"/>
  <c r="J425" i="43"/>
  <c r="J424" i="43" s="1"/>
  <c r="R414" i="43" s="1"/>
  <c r="K425" i="43"/>
  <c r="K424" i="43" s="1"/>
  <c r="J532" i="42"/>
  <c r="J531" i="42" s="1"/>
  <c r="R521" i="42" s="1"/>
  <c r="K532" i="42"/>
  <c r="K531" i="42" s="1"/>
  <c r="J514" i="44"/>
  <c r="J513" i="44" s="1"/>
  <c r="R520" i="44" s="1"/>
  <c r="K514" i="44"/>
  <c r="K513" i="44" s="1"/>
  <c r="K532" i="54"/>
  <c r="K531" i="54" s="1"/>
  <c r="J532" i="54"/>
  <c r="J531" i="54" s="1"/>
  <c r="R521" i="54" s="1"/>
  <c r="J532" i="46"/>
  <c r="J531" i="46" s="1"/>
  <c r="R521" i="46" s="1"/>
  <c r="K532" i="46"/>
  <c r="K531" i="46" s="1"/>
  <c r="J493" i="51"/>
  <c r="J492" i="51" s="1"/>
  <c r="K493" i="51"/>
  <c r="K492" i="51" s="1"/>
  <c r="E35" i="51" s="1"/>
  <c r="J440" i="44"/>
  <c r="J439" i="44" s="1"/>
  <c r="R415" i="44" s="1"/>
  <c r="K440" i="44"/>
  <c r="K439" i="44" s="1"/>
  <c r="O440" i="42"/>
  <c r="O439" i="42" s="1"/>
  <c r="S415" i="42" s="1"/>
  <c r="P440" i="42"/>
  <c r="P439" i="42" s="1"/>
  <c r="K407" i="17"/>
  <c r="K406" i="17" s="1"/>
  <c r="J407" i="17"/>
  <c r="J406" i="17" s="1"/>
  <c r="R413" i="17" s="1"/>
  <c r="P460" i="52"/>
  <c r="P459" i="52" s="1"/>
  <c r="E26" i="52" s="1"/>
  <c r="O460" i="52"/>
  <c r="O459" i="52" s="1"/>
  <c r="K493" i="46"/>
  <c r="K492" i="46" s="1"/>
  <c r="E35" i="46" s="1"/>
  <c r="J493" i="46"/>
  <c r="J492" i="46" s="1"/>
  <c r="P353" i="49"/>
  <c r="P352" i="49" s="1"/>
  <c r="O353" i="49"/>
  <c r="O352" i="49" s="1"/>
  <c r="J460" i="44"/>
  <c r="J459" i="44" s="1"/>
  <c r="K460" i="44"/>
  <c r="K459" i="44" s="1"/>
  <c r="E25" i="44" s="1"/>
  <c r="J478" i="55"/>
  <c r="J477" i="55" s="1"/>
  <c r="K478" i="55"/>
  <c r="K477" i="55" s="1"/>
  <c r="E30" i="55" s="1"/>
  <c r="P547" i="52"/>
  <c r="P546" i="52" s="1"/>
  <c r="O547" i="52"/>
  <c r="O546" i="52" s="1"/>
  <c r="S522" i="52" s="1"/>
  <c r="P514" i="52"/>
  <c r="P513" i="52" s="1"/>
  <c r="O514" i="52"/>
  <c r="O513" i="52" s="1"/>
  <c r="S520" i="52" s="1"/>
  <c r="K440" i="48"/>
  <c r="K439" i="48" s="1"/>
  <c r="J440" i="48"/>
  <c r="J439" i="48" s="1"/>
  <c r="R415" i="48" s="1"/>
  <c r="J440" i="41"/>
  <c r="J439" i="41" s="1"/>
  <c r="R415" i="41" s="1"/>
  <c r="K440" i="41"/>
  <c r="K439" i="41" s="1"/>
  <c r="P460" i="44"/>
  <c r="P459" i="44" s="1"/>
  <c r="E26" i="44" s="1"/>
  <c r="O460" i="44"/>
  <c r="O459" i="44" s="1"/>
  <c r="J353" i="41"/>
  <c r="J352" i="41" s="1"/>
  <c r="K353" i="41"/>
  <c r="K352" i="41" s="1"/>
  <c r="K514" i="41"/>
  <c r="K513" i="41" s="1"/>
  <c r="J514" i="41"/>
  <c r="J513" i="41" s="1"/>
  <c r="R520" i="41" s="1"/>
  <c r="R361" i="53"/>
  <c r="J514" i="45"/>
  <c r="J513" i="45" s="1"/>
  <c r="R520" i="45" s="1"/>
  <c r="K514" i="45"/>
  <c r="K513" i="45" s="1"/>
  <c r="O532" i="47"/>
  <c r="O531" i="47" s="1"/>
  <c r="S521" i="47" s="1"/>
  <c r="P532" i="47"/>
  <c r="P493" i="47"/>
  <c r="P492" i="47" s="1"/>
  <c r="E36" i="47" s="1"/>
  <c r="O493" i="47"/>
  <c r="O492" i="47" s="1"/>
  <c r="J440" i="46"/>
  <c r="J439" i="46" s="1"/>
  <c r="R415" i="46" s="1"/>
  <c r="K440" i="46"/>
  <c r="K439" i="46" s="1"/>
  <c r="J532" i="44"/>
  <c r="J531" i="44" s="1"/>
  <c r="R521" i="44" s="1"/>
  <c r="K532" i="44"/>
  <c r="K531" i="44" s="1"/>
  <c r="S360" i="40"/>
  <c r="K547" i="49"/>
  <c r="K546" i="49" s="1"/>
  <c r="J547" i="49"/>
  <c r="J546" i="49" s="1"/>
  <c r="R522" i="49" s="1"/>
  <c r="J386" i="44"/>
  <c r="J385" i="44" s="1"/>
  <c r="K386" i="44"/>
  <c r="K385" i="44" s="1"/>
  <c r="P440" i="54"/>
  <c r="P439" i="54" s="1"/>
  <c r="O440" i="54"/>
  <c r="O439" i="54" s="1"/>
  <c r="S415" i="54" s="1"/>
  <c r="J407" i="49"/>
  <c r="J406" i="49" s="1"/>
  <c r="R413" i="49" s="1"/>
  <c r="K407" i="49"/>
  <c r="K406" i="49" s="1"/>
  <c r="P547" i="17"/>
  <c r="P546" i="17" s="1"/>
  <c r="O547" i="17"/>
  <c r="O546" i="17" s="1"/>
  <c r="S522" i="17" s="1"/>
  <c r="P547" i="54"/>
  <c r="P546" i="54" s="1"/>
  <c r="O547" i="54"/>
  <c r="O546" i="54" s="1"/>
  <c r="S522" i="54" s="1"/>
  <c r="O547" i="49"/>
  <c r="O546" i="49" s="1"/>
  <c r="S522" i="49" s="1"/>
  <c r="P547" i="49"/>
  <c r="P546" i="49" s="1"/>
  <c r="O407" i="39"/>
  <c r="O406" i="39" s="1"/>
  <c r="S413" i="39" s="1"/>
  <c r="P407" i="39"/>
  <c r="P406" i="39" s="1"/>
  <c r="P353" i="46"/>
  <c r="P352" i="46" s="1"/>
  <c r="O353" i="46"/>
  <c r="O352" i="46" s="1"/>
  <c r="O407" i="50"/>
  <c r="O406" i="50" s="1"/>
  <c r="S413" i="50" s="1"/>
  <c r="P407" i="50"/>
  <c r="P406" i="50" s="1"/>
  <c r="P514" i="48"/>
  <c r="P513" i="48" s="1"/>
  <c r="O514" i="48"/>
  <c r="O513" i="48" s="1"/>
  <c r="S520" i="48" s="1"/>
  <c r="O460" i="47"/>
  <c r="O459" i="47" s="1"/>
  <c r="P460" i="47"/>
  <c r="P459" i="47" s="1"/>
  <c r="E26" i="47" s="1"/>
  <c r="J353" i="46"/>
  <c r="J352" i="46" s="1"/>
  <c r="K353" i="46"/>
  <c r="K352" i="46" s="1"/>
  <c r="J460" i="42"/>
  <c r="J459" i="42" s="1"/>
  <c r="K460" i="42"/>
  <c r="K459" i="42" s="1"/>
  <c r="E25" i="42" s="1"/>
  <c r="O425" i="44"/>
  <c r="O424" i="44" s="1"/>
  <c r="S414" i="44" s="1"/>
  <c r="P425" i="44"/>
  <c r="J407" i="47"/>
  <c r="J406" i="47" s="1"/>
  <c r="R413" i="47" s="1"/>
  <c r="K407" i="47"/>
  <c r="K406" i="47" s="1"/>
  <c r="J386" i="37"/>
  <c r="J385" i="37" s="1"/>
  <c r="K386" i="37"/>
  <c r="K385" i="37" s="1"/>
  <c r="G35" i="37" s="1"/>
  <c r="AR12" i="37" s="1"/>
  <c r="AR18" i="37" s="1"/>
  <c r="S359" i="39"/>
  <c r="S359" i="45"/>
  <c r="S360" i="51"/>
  <c r="AD7" i="51"/>
  <c r="S360" i="50"/>
  <c r="R359" i="52"/>
  <c r="P424" i="50"/>
  <c r="S359" i="52"/>
  <c r="C38" i="54"/>
  <c r="C40" i="54" s="1"/>
  <c r="M31" i="54" s="1"/>
  <c r="C48" i="54" s="1"/>
  <c r="R360" i="48"/>
  <c r="J386" i="45"/>
  <c r="J385" i="45" s="1"/>
  <c r="K386" i="45"/>
  <c r="K385" i="45" s="1"/>
  <c r="O440" i="53"/>
  <c r="O439" i="53" s="1"/>
  <c r="S415" i="53" s="1"/>
  <c r="P440" i="53"/>
  <c r="P439" i="53" s="1"/>
  <c r="O371" i="55"/>
  <c r="O370" i="55" s="1"/>
  <c r="S360" i="55" s="1"/>
  <c r="P371" i="55"/>
  <c r="P477" i="42"/>
  <c r="E31" i="42" s="1"/>
  <c r="P370" i="46"/>
  <c r="J547" i="42"/>
  <c r="J546" i="42" s="1"/>
  <c r="R522" i="42" s="1"/>
  <c r="K547" i="42"/>
  <c r="K546" i="42" s="1"/>
  <c r="O460" i="39"/>
  <c r="O459" i="39" s="1"/>
  <c r="P460" i="39"/>
  <c r="P459" i="39" s="1"/>
  <c r="E26" i="39" s="1"/>
  <c r="G25" i="39" s="1"/>
  <c r="AY12" i="39" s="1"/>
  <c r="AY18" i="39" s="1"/>
  <c r="P514" i="17"/>
  <c r="P513" i="17" s="1"/>
  <c r="O514" i="17"/>
  <c r="O513" i="17" s="1"/>
  <c r="S520" i="17" s="1"/>
  <c r="K514" i="17"/>
  <c r="K513" i="17" s="1"/>
  <c r="J514" i="17"/>
  <c r="J513" i="17" s="1"/>
  <c r="R520" i="17" s="1"/>
  <c r="P493" i="49"/>
  <c r="P492" i="49" s="1"/>
  <c r="E36" i="49" s="1"/>
  <c r="O493" i="49"/>
  <c r="O492" i="49" s="1"/>
  <c r="P531" i="38"/>
  <c r="J547" i="40"/>
  <c r="J546" i="40" s="1"/>
  <c r="R522" i="40" s="1"/>
  <c r="K547" i="40"/>
  <c r="K546" i="40" s="1"/>
  <c r="O425" i="51"/>
  <c r="O424" i="51" s="1"/>
  <c r="S414" i="51" s="1"/>
  <c r="P425" i="51"/>
  <c r="K371" i="40"/>
  <c r="K370" i="40" s="1"/>
  <c r="J371" i="40"/>
  <c r="J370" i="40" s="1"/>
  <c r="R361" i="17"/>
  <c r="P532" i="51"/>
  <c r="O532" i="51"/>
  <c r="O531" i="51" s="1"/>
  <c r="S521" i="51" s="1"/>
  <c r="P477" i="41"/>
  <c r="E31" i="41" s="1"/>
  <c r="P532" i="48"/>
  <c r="O532" i="48"/>
  <c r="O531" i="48" s="1"/>
  <c r="S521" i="48" s="1"/>
  <c r="O440" i="48"/>
  <c r="O439" i="48" s="1"/>
  <c r="S415" i="48" s="1"/>
  <c r="P440" i="48"/>
  <c r="P439" i="48" s="1"/>
  <c r="S361" i="53"/>
  <c r="AB7" i="53"/>
  <c r="O407" i="37"/>
  <c r="O406" i="37" s="1"/>
  <c r="S413" i="37" s="1"/>
  <c r="P407" i="37"/>
  <c r="P406" i="37" s="1"/>
  <c r="O425" i="40"/>
  <c r="O424" i="40" s="1"/>
  <c r="S414" i="40" s="1"/>
  <c r="P425" i="40"/>
  <c r="P407" i="42"/>
  <c r="P406" i="42" s="1"/>
  <c r="O407" i="42"/>
  <c r="O406" i="42" s="1"/>
  <c r="S413" i="42" s="1"/>
  <c r="K547" i="52"/>
  <c r="K546" i="52" s="1"/>
  <c r="J547" i="52"/>
  <c r="J546" i="52" s="1"/>
  <c r="R522" i="52" s="1"/>
  <c r="S361" i="47"/>
  <c r="J547" i="39"/>
  <c r="J546" i="39" s="1"/>
  <c r="R522" i="39" s="1"/>
  <c r="K547" i="39"/>
  <c r="K546" i="39" s="1"/>
  <c r="J532" i="41"/>
  <c r="J531" i="41" s="1"/>
  <c r="R521" i="41" s="1"/>
  <c r="K532" i="41"/>
  <c r="K531" i="41" s="1"/>
  <c r="J460" i="50"/>
  <c r="J459" i="50" s="1"/>
  <c r="K460" i="50"/>
  <c r="K459" i="50" s="1"/>
  <c r="E25" i="50" s="1"/>
  <c r="O386" i="52"/>
  <c r="O385" i="52" s="1"/>
  <c r="P386" i="52"/>
  <c r="P385" i="52" s="1"/>
  <c r="G35" i="52" s="1"/>
  <c r="AR12" i="52" s="1"/>
  <c r="AR18" i="52" s="1"/>
  <c r="O425" i="54"/>
  <c r="O424" i="54" s="1"/>
  <c r="S414" i="54" s="1"/>
  <c r="P425" i="54"/>
  <c r="K407" i="51"/>
  <c r="K406" i="51" s="1"/>
  <c r="J407" i="51"/>
  <c r="J406" i="51" s="1"/>
  <c r="R413" i="51" s="1"/>
  <c r="K425" i="44"/>
  <c r="K424" i="44" s="1"/>
  <c r="J425" i="44"/>
  <c r="J424" i="44" s="1"/>
  <c r="R414" i="44" s="1"/>
  <c r="O532" i="44"/>
  <c r="O531" i="44" s="1"/>
  <c r="S521" i="44" s="1"/>
  <c r="P532" i="44"/>
  <c r="O514" i="54"/>
  <c r="O513" i="54" s="1"/>
  <c r="S520" i="54" s="1"/>
  <c r="P514" i="54"/>
  <c r="P513" i="54" s="1"/>
  <c r="R359" i="45"/>
  <c r="R359" i="48"/>
  <c r="K386" i="49"/>
  <c r="K385" i="49" s="1"/>
  <c r="J386" i="49"/>
  <c r="J385" i="49" s="1"/>
  <c r="O440" i="49"/>
  <c r="O439" i="49" s="1"/>
  <c r="S415" i="49" s="1"/>
  <c r="P440" i="49"/>
  <c r="P439" i="49" s="1"/>
  <c r="O478" i="48"/>
  <c r="O477" i="48" s="1"/>
  <c r="C31" i="48" s="1"/>
  <c r="P478" i="48"/>
  <c r="P425" i="37"/>
  <c r="O425" i="37"/>
  <c r="O424" i="37" s="1"/>
  <c r="S414" i="37" s="1"/>
  <c r="O386" i="39"/>
  <c r="O385" i="39" s="1"/>
  <c r="P386" i="39"/>
  <c r="P385" i="39" s="1"/>
  <c r="P478" i="46"/>
  <c r="O478" i="46"/>
  <c r="O477" i="46" s="1"/>
  <c r="K386" i="43"/>
  <c r="K385" i="43" s="1"/>
  <c r="J386" i="43"/>
  <c r="J385" i="43" s="1"/>
  <c r="O478" i="44"/>
  <c r="O477" i="44" s="1"/>
  <c r="P478" i="44"/>
  <c r="J460" i="49"/>
  <c r="J459" i="49" s="1"/>
  <c r="K460" i="49"/>
  <c r="K459" i="49" s="1"/>
  <c r="E25" i="49" s="1"/>
  <c r="R360" i="54"/>
  <c r="K386" i="48"/>
  <c r="K385" i="48" s="1"/>
  <c r="J386" i="48"/>
  <c r="J385" i="48" s="1"/>
  <c r="J371" i="47"/>
  <c r="J370" i="47" s="1"/>
  <c r="K371" i="47"/>
  <c r="K370" i="47" s="1"/>
  <c r="J407" i="37"/>
  <c r="J406" i="37" s="1"/>
  <c r="R413" i="37" s="1"/>
  <c r="K407" i="37"/>
  <c r="K406" i="37" s="1"/>
  <c r="J493" i="40"/>
  <c r="J492" i="40" s="1"/>
  <c r="K493" i="40"/>
  <c r="K492" i="40" s="1"/>
  <c r="E35" i="40" s="1"/>
  <c r="J532" i="50"/>
  <c r="J531" i="50" s="1"/>
  <c r="R521" i="50" s="1"/>
  <c r="K532" i="50"/>
  <c r="K531" i="50" s="1"/>
  <c r="C46" i="48"/>
  <c r="C38" i="48"/>
  <c r="C40" i="48" s="1"/>
  <c r="M31" i="48" s="1"/>
  <c r="C48" i="48" s="1"/>
  <c r="C46" i="39"/>
  <c r="C38" i="55"/>
  <c r="C40" i="55" s="1"/>
  <c r="M31" i="55" s="1"/>
  <c r="C48" i="55" s="1"/>
  <c r="C46" i="55"/>
  <c r="C46" i="38"/>
  <c r="C38" i="38"/>
  <c r="C40" i="38" s="1"/>
  <c r="M31" i="38" s="1"/>
  <c r="C48" i="38" s="1"/>
  <c r="C38" i="44"/>
  <c r="C40" i="44" s="1"/>
  <c r="M31" i="44" s="1"/>
  <c r="C48" i="44" s="1"/>
  <c r="C46" i="44"/>
  <c r="C38" i="46"/>
  <c r="C40" i="46" s="1"/>
  <c r="M31" i="46" s="1"/>
  <c r="C48" i="46" s="1"/>
  <c r="C46" i="46"/>
  <c r="C46" i="17"/>
  <c r="J493" i="38"/>
  <c r="J492" i="38" s="1"/>
  <c r="K493" i="38"/>
  <c r="K492" i="38" s="1"/>
  <c r="E35" i="38" s="1"/>
  <c r="P478" i="50"/>
  <c r="O478" i="50"/>
  <c r="O477" i="50" s="1"/>
  <c r="K353" i="17"/>
  <c r="K352" i="17" s="1"/>
  <c r="G25" i="17" s="1"/>
  <c r="AY12" i="17" s="1"/>
  <c r="AY18" i="17" s="1"/>
  <c r="J353" i="17"/>
  <c r="J352" i="17" s="1"/>
  <c r="J425" i="37"/>
  <c r="J424" i="37" s="1"/>
  <c r="R414" i="37" s="1"/>
  <c r="K425" i="37"/>
  <c r="K424" i="37" s="1"/>
  <c r="S360" i="45"/>
  <c r="P493" i="43"/>
  <c r="P492" i="43" s="1"/>
  <c r="E36" i="43" s="1"/>
  <c r="O493" i="43"/>
  <c r="O492" i="43" s="1"/>
  <c r="O547" i="38"/>
  <c r="O546" i="38" s="1"/>
  <c r="S522" i="38" s="1"/>
  <c r="P547" i="38"/>
  <c r="P546" i="38" s="1"/>
  <c r="S360" i="17"/>
  <c r="S360" i="47"/>
  <c r="S360" i="41"/>
  <c r="AD7" i="41"/>
  <c r="O440" i="17"/>
  <c r="O439" i="17" s="1"/>
  <c r="S415" i="17" s="1"/>
  <c r="P440" i="17"/>
  <c r="P439" i="17" s="1"/>
  <c r="P370" i="45"/>
  <c r="J532" i="53"/>
  <c r="J531" i="53" s="1"/>
  <c r="R521" i="53" s="1"/>
  <c r="K532" i="53"/>
  <c r="K531" i="53" s="1"/>
  <c r="K478" i="45"/>
  <c r="K477" i="45" s="1"/>
  <c r="E30" i="45" s="1"/>
  <c r="J478" i="45"/>
  <c r="J477" i="45" s="1"/>
  <c r="P440" i="39"/>
  <c r="P439" i="39" s="1"/>
  <c r="O440" i="39"/>
  <c r="O439" i="39" s="1"/>
  <c r="S415" i="39" s="1"/>
  <c r="R360" i="38"/>
  <c r="AD6" i="38"/>
  <c r="R359" i="44"/>
  <c r="AB6" i="52"/>
  <c r="R361" i="52"/>
  <c r="P532" i="17"/>
  <c r="O532" i="17"/>
  <c r="O531" i="17" s="1"/>
  <c r="S521" i="17" s="1"/>
  <c r="P370" i="41"/>
  <c r="P532" i="45"/>
  <c r="O532" i="45"/>
  <c r="O531" i="45" s="1"/>
  <c r="S521" i="45" s="1"/>
  <c r="P371" i="42"/>
  <c r="O371" i="42"/>
  <c r="O370" i="42" s="1"/>
  <c r="S360" i="46"/>
  <c r="S361" i="54"/>
  <c r="J425" i="38"/>
  <c r="J424" i="38" s="1"/>
  <c r="R414" i="38" s="1"/>
  <c r="K425" i="38"/>
  <c r="K424" i="38" s="1"/>
  <c r="O386" i="38"/>
  <c r="O385" i="38" s="1"/>
  <c r="P386" i="38"/>
  <c r="P385" i="38" s="1"/>
  <c r="G35" i="38" s="1"/>
  <c r="AR12" i="38" s="1"/>
  <c r="AR18" i="38" s="1"/>
  <c r="K386" i="39"/>
  <c r="K385" i="39" s="1"/>
  <c r="J386" i="39"/>
  <c r="J385" i="39" s="1"/>
  <c r="R361" i="46"/>
  <c r="P478" i="38"/>
  <c r="O478" i="38"/>
  <c r="O477" i="38" s="1"/>
  <c r="O425" i="47"/>
  <c r="O424" i="47" s="1"/>
  <c r="S414" i="47" s="1"/>
  <c r="P425" i="47"/>
  <c r="K353" i="37"/>
  <c r="K352" i="37" s="1"/>
  <c r="J353" i="37"/>
  <c r="J352" i="37" s="1"/>
  <c r="P478" i="17"/>
  <c r="O478" i="17"/>
  <c r="O477" i="17" s="1"/>
  <c r="P478" i="45"/>
  <c r="O478" i="45"/>
  <c r="O477" i="45" s="1"/>
  <c r="C46" i="40"/>
  <c r="C38" i="40"/>
  <c r="C40" i="40" s="1"/>
  <c r="M31" i="40" s="1"/>
  <c r="C48" i="40" s="1"/>
  <c r="AB6" i="55"/>
  <c r="R359" i="51"/>
  <c r="AC6" i="51"/>
  <c r="R359" i="50"/>
  <c r="P514" i="37"/>
  <c r="P513" i="37" s="1"/>
  <c r="O514" i="37"/>
  <c r="O513" i="37" s="1"/>
  <c r="S520" i="37" s="1"/>
  <c r="O371" i="37"/>
  <c r="O370" i="37" s="1"/>
  <c r="P371" i="37"/>
  <c r="K460" i="37"/>
  <c r="K459" i="37" s="1"/>
  <c r="E25" i="37" s="1"/>
  <c r="J460" i="37"/>
  <c r="J459" i="37" s="1"/>
  <c r="O386" i="50"/>
  <c r="O385" i="50" s="1"/>
  <c r="P386" i="50"/>
  <c r="P385" i="50" s="1"/>
  <c r="J371" i="17"/>
  <c r="K371" i="17"/>
  <c r="K370" i="17" s="1"/>
  <c r="G35" i="42" l="1"/>
  <c r="AR12" i="42" s="1"/>
  <c r="AR18" i="42" s="1"/>
  <c r="G35" i="48"/>
  <c r="AR12" i="48" s="1"/>
  <c r="AR18" i="48" s="1"/>
  <c r="G35" i="51"/>
  <c r="AR12" i="51" s="1"/>
  <c r="AR18" i="51" s="1"/>
  <c r="J478" i="41"/>
  <c r="J477" i="41" s="1"/>
  <c r="G35" i="49"/>
  <c r="AR12" i="49" s="1"/>
  <c r="AR18" i="49" s="1"/>
  <c r="G25" i="45"/>
  <c r="AY12" i="45" s="1"/>
  <c r="AY18" i="45" s="1"/>
  <c r="G25" i="51"/>
  <c r="AY12" i="51" s="1"/>
  <c r="AY18" i="51" s="1"/>
  <c r="G25" i="37"/>
  <c r="G35" i="55"/>
  <c r="AR12" i="55" s="1"/>
  <c r="AR18" i="55" s="1"/>
  <c r="Y8" i="58"/>
  <c r="Z8" i="58" s="1"/>
  <c r="G25" i="42"/>
  <c r="AY12" i="42" s="1"/>
  <c r="AY18" i="42" s="1"/>
  <c r="S467" i="45"/>
  <c r="C31" i="45"/>
  <c r="AD7" i="45" s="1"/>
  <c r="R466" i="49"/>
  <c r="C25" i="49"/>
  <c r="S467" i="17"/>
  <c r="C31" i="17"/>
  <c r="AD7" i="17" s="1"/>
  <c r="S467" i="44"/>
  <c r="C31" i="44"/>
  <c r="AD7" i="44" s="1"/>
  <c r="R466" i="50"/>
  <c r="C25" i="50"/>
  <c r="AC6" i="50" s="1"/>
  <c r="S468" i="49"/>
  <c r="C36" i="49"/>
  <c r="AB7" i="49" s="1"/>
  <c r="R466" i="42"/>
  <c r="C25" i="42"/>
  <c r="AC6" i="42" s="1"/>
  <c r="R467" i="55"/>
  <c r="C30" i="55"/>
  <c r="R468" i="51"/>
  <c r="C35" i="51"/>
  <c r="AB6" i="51" s="1"/>
  <c r="AR15" i="51" s="1"/>
  <c r="S468" i="37"/>
  <c r="C36" i="37"/>
  <c r="AB7" i="37" s="1"/>
  <c r="S466" i="42"/>
  <c r="C26" i="42"/>
  <c r="AC7" i="42" s="1"/>
  <c r="S467" i="49"/>
  <c r="C31" i="49"/>
  <c r="AD7" i="49" s="1"/>
  <c r="S467" i="47"/>
  <c r="C31" i="47"/>
  <c r="AD7" i="47" s="1"/>
  <c r="R466" i="40"/>
  <c r="C25" i="40"/>
  <c r="R467" i="48"/>
  <c r="C30" i="48"/>
  <c r="AD6" i="48" s="1"/>
  <c r="G30" i="41"/>
  <c r="S468" i="43"/>
  <c r="C36" i="43"/>
  <c r="S467" i="50"/>
  <c r="C31" i="50"/>
  <c r="AD7" i="50" s="1"/>
  <c r="S468" i="47"/>
  <c r="C36" i="47"/>
  <c r="AB7" i="47" s="1"/>
  <c r="R467" i="47"/>
  <c r="C30" i="47"/>
  <c r="R466" i="53"/>
  <c r="C25" i="53"/>
  <c r="AC6" i="53" s="1"/>
  <c r="G25" i="55"/>
  <c r="AY12" i="55" s="1"/>
  <c r="AY18" i="55" s="1"/>
  <c r="R466" i="46"/>
  <c r="C25" i="46"/>
  <c r="R468" i="49"/>
  <c r="C35" i="49"/>
  <c r="R466" i="55"/>
  <c r="C25" i="55"/>
  <c r="AC6" i="55" s="1"/>
  <c r="R468" i="42"/>
  <c r="C35" i="42"/>
  <c r="G30" i="43"/>
  <c r="R468" i="54"/>
  <c r="C35" i="54"/>
  <c r="AB6" i="54" s="1"/>
  <c r="R466" i="44"/>
  <c r="C25" i="44"/>
  <c r="AC6" i="44" s="1"/>
  <c r="R466" i="48"/>
  <c r="C25" i="48"/>
  <c r="AC6" i="48" s="1"/>
  <c r="AC8" i="48" s="1"/>
  <c r="Y15" i="48" s="1"/>
  <c r="Y16" i="48" s="1"/>
  <c r="AF18" i="48" s="1"/>
  <c r="S468" i="52"/>
  <c r="C36" i="52"/>
  <c r="S467" i="40"/>
  <c r="C31" i="40"/>
  <c r="AD7" i="40" s="1"/>
  <c r="S468" i="40"/>
  <c r="C36" i="40"/>
  <c r="AB7" i="40" s="1"/>
  <c r="R466" i="45"/>
  <c r="C25" i="45"/>
  <c r="AC6" i="45" s="1"/>
  <c r="G30" i="52"/>
  <c r="BF12" i="52" s="1"/>
  <c r="BF18" i="52" s="1"/>
  <c r="R467" i="45"/>
  <c r="C30" i="45"/>
  <c r="S467" i="46"/>
  <c r="C31" i="46"/>
  <c r="AD7" i="46" s="1"/>
  <c r="S468" i="17"/>
  <c r="C36" i="17"/>
  <c r="AB7" i="17" s="1"/>
  <c r="R468" i="53"/>
  <c r="C35" i="53"/>
  <c r="AB6" i="53" s="1"/>
  <c r="R467" i="42"/>
  <c r="C30" i="42"/>
  <c r="AD6" i="42" s="1"/>
  <c r="G25" i="52"/>
  <c r="R467" i="54"/>
  <c r="C30" i="54"/>
  <c r="AD6" i="54" s="1"/>
  <c r="AB7" i="42"/>
  <c r="R466" i="52"/>
  <c r="C25" i="52"/>
  <c r="AC6" i="52" s="1"/>
  <c r="S467" i="52"/>
  <c r="C31" i="52"/>
  <c r="AD7" i="52" s="1"/>
  <c r="BF15" i="52" s="1"/>
  <c r="R468" i="38"/>
  <c r="C35" i="38"/>
  <c r="AB6" i="38" s="1"/>
  <c r="S466" i="47"/>
  <c r="C26" i="47"/>
  <c r="AC7" i="47" s="1"/>
  <c r="AY15" i="47" s="1"/>
  <c r="S468" i="45"/>
  <c r="C36" i="45"/>
  <c r="AB7" i="45" s="1"/>
  <c r="S466" i="46"/>
  <c r="C26" i="46"/>
  <c r="AC7" i="46" s="1"/>
  <c r="S468" i="55"/>
  <c r="C36" i="55"/>
  <c r="AB7" i="55" s="1"/>
  <c r="AB8" i="55" s="1"/>
  <c r="S466" i="45"/>
  <c r="C26" i="45"/>
  <c r="AC7" i="45" s="1"/>
  <c r="S468" i="51"/>
  <c r="C36" i="51"/>
  <c r="AB7" i="51" s="1"/>
  <c r="R468" i="37"/>
  <c r="C35" i="37"/>
  <c r="AB6" i="37" s="1"/>
  <c r="G25" i="44"/>
  <c r="AY12" i="44" s="1"/>
  <c r="AY18" i="44" s="1"/>
  <c r="R467" i="41"/>
  <c r="C30" i="41"/>
  <c r="AD6" i="41" s="1"/>
  <c r="BF15" i="41" s="1"/>
  <c r="R468" i="40"/>
  <c r="C35" i="40"/>
  <c r="AB6" i="40" s="1"/>
  <c r="S466" i="44"/>
  <c r="C26" i="44"/>
  <c r="AC7" i="44" s="1"/>
  <c r="R468" i="46"/>
  <c r="C35" i="46"/>
  <c r="AB6" i="46" s="1"/>
  <c r="S466" i="51"/>
  <c r="C26" i="51"/>
  <c r="AC7" i="51" s="1"/>
  <c r="AY14" i="51" s="1"/>
  <c r="S466" i="55"/>
  <c r="C26" i="55"/>
  <c r="AC7" i="55" s="1"/>
  <c r="R467" i="44"/>
  <c r="C30" i="44"/>
  <c r="AD6" i="44" s="1"/>
  <c r="S467" i="38"/>
  <c r="C31" i="38"/>
  <c r="R468" i="44"/>
  <c r="C35" i="44"/>
  <c r="AB6" i="44" s="1"/>
  <c r="G35" i="40"/>
  <c r="AR12" i="40" s="1"/>
  <c r="AR18" i="40" s="1"/>
  <c r="R466" i="37"/>
  <c r="C25" i="37"/>
  <c r="S466" i="52"/>
  <c r="C26" i="52"/>
  <c r="AC7" i="52" s="1"/>
  <c r="AY15" i="52" s="1"/>
  <c r="S468" i="41"/>
  <c r="C36" i="41"/>
  <c r="AB7" i="41" s="1"/>
  <c r="R467" i="49"/>
  <c r="C30" i="49"/>
  <c r="AD6" i="49" s="1"/>
  <c r="S467" i="54"/>
  <c r="C31" i="54"/>
  <c r="S468" i="54"/>
  <c r="C36" i="54"/>
  <c r="AB7" i="54" s="1"/>
  <c r="AR15" i="54" s="1"/>
  <c r="G25" i="50"/>
  <c r="S467" i="53"/>
  <c r="C31" i="53"/>
  <c r="AD7" i="53" s="1"/>
  <c r="BF15" i="53" s="1"/>
  <c r="G35" i="46"/>
  <c r="AR12" i="46" s="1"/>
  <c r="AR18" i="46" s="1"/>
  <c r="S466" i="43"/>
  <c r="C26" i="43"/>
  <c r="AC7" i="43" s="1"/>
  <c r="G25" i="47"/>
  <c r="AY12" i="47" s="1"/>
  <c r="AY18" i="47" s="1"/>
  <c r="S466" i="39"/>
  <c r="C26" i="39"/>
  <c r="AC7" i="39" s="1"/>
  <c r="AY14" i="39" s="1"/>
  <c r="S468" i="39"/>
  <c r="C36" i="39"/>
  <c r="AB7" i="39" s="1"/>
  <c r="R468" i="39"/>
  <c r="C35" i="39"/>
  <c r="P424" i="55"/>
  <c r="AC8" i="38"/>
  <c r="Y15" i="38" s="1"/>
  <c r="Y16" i="38" s="1"/>
  <c r="AF18" i="38" s="1"/>
  <c r="S359" i="44"/>
  <c r="G30" i="51"/>
  <c r="BF12" i="51" s="1"/>
  <c r="BF18" i="51" s="1"/>
  <c r="S361" i="42"/>
  <c r="G35" i="43"/>
  <c r="AR12" i="43" s="1"/>
  <c r="AR18" i="43" s="1"/>
  <c r="G25" i="40"/>
  <c r="AY12" i="40" s="1"/>
  <c r="AY18" i="40" s="1"/>
  <c r="G35" i="41"/>
  <c r="AR12" i="41" s="1"/>
  <c r="AR18" i="41" s="1"/>
  <c r="Y9" i="58"/>
  <c r="Z9" i="58" s="1"/>
  <c r="S361" i="41"/>
  <c r="S361" i="17"/>
  <c r="AY15" i="38"/>
  <c r="AY14" i="38"/>
  <c r="S359" i="47"/>
  <c r="R360" i="55"/>
  <c r="AD6" i="55"/>
  <c r="P370" i="53"/>
  <c r="P531" i="43"/>
  <c r="P370" i="38"/>
  <c r="P531" i="40"/>
  <c r="G25" i="53"/>
  <c r="AY12" i="53" s="1"/>
  <c r="AY18" i="53" s="1"/>
  <c r="P424" i="38"/>
  <c r="G35" i="47"/>
  <c r="AR12" i="47" s="1"/>
  <c r="AR18" i="47" s="1"/>
  <c r="S361" i="43"/>
  <c r="AB7" i="43"/>
  <c r="S359" i="53"/>
  <c r="AC7" i="53"/>
  <c r="P424" i="54"/>
  <c r="AC6" i="40"/>
  <c r="AC8" i="40" s="1"/>
  <c r="Y19" i="40" s="1"/>
  <c r="R359" i="40"/>
  <c r="P531" i="55"/>
  <c r="S360" i="53"/>
  <c r="P531" i="52"/>
  <c r="AB7" i="46"/>
  <c r="AR15" i="46" s="1"/>
  <c r="S361" i="46"/>
  <c r="P531" i="50"/>
  <c r="P531" i="46"/>
  <c r="S361" i="40"/>
  <c r="AB6" i="41"/>
  <c r="R361" i="41"/>
  <c r="R360" i="51"/>
  <c r="AD6" i="51"/>
  <c r="AD8" i="51" s="1"/>
  <c r="Y40" i="51" s="1"/>
  <c r="P477" i="53"/>
  <c r="E31" i="53" s="1"/>
  <c r="P477" i="49"/>
  <c r="E31" i="49" s="1"/>
  <c r="G30" i="49" s="1"/>
  <c r="BF12" i="49" s="1"/>
  <c r="BF18" i="49" s="1"/>
  <c r="P477" i="46"/>
  <c r="E31" i="46" s="1"/>
  <c r="G30" i="46" s="1"/>
  <c r="BF12" i="46" s="1"/>
  <c r="BF18" i="46" s="1"/>
  <c r="G30" i="40"/>
  <c r="BF12" i="40" s="1"/>
  <c r="BF18" i="40" s="1"/>
  <c r="P477" i="40"/>
  <c r="E31" i="40" s="1"/>
  <c r="G35" i="45"/>
  <c r="AR12" i="45" s="1"/>
  <c r="AR18" i="45" s="1"/>
  <c r="BF14" i="43"/>
  <c r="BF15" i="43"/>
  <c r="AD8" i="43"/>
  <c r="Y40" i="43" s="1"/>
  <c r="AD8" i="41"/>
  <c r="Y40" i="41" s="1"/>
  <c r="P424" i="39"/>
  <c r="G35" i="50"/>
  <c r="AR12" i="50" s="1"/>
  <c r="AR18" i="50" s="1"/>
  <c r="G35" i="44"/>
  <c r="AR12" i="44" s="1"/>
  <c r="AR18" i="44" s="1"/>
  <c r="J370" i="17"/>
  <c r="AY12" i="52"/>
  <c r="AY18" i="52" s="1"/>
  <c r="AY15" i="51"/>
  <c r="AY12" i="50"/>
  <c r="AY18" i="50" s="1"/>
  <c r="G25" i="49"/>
  <c r="AY12" i="43"/>
  <c r="AY18" i="43" s="1"/>
  <c r="BF12" i="43"/>
  <c r="BF18" i="43" s="1"/>
  <c r="AY15" i="42"/>
  <c r="BF12" i="41"/>
  <c r="BF18" i="41" s="1"/>
  <c r="G25" i="41"/>
  <c r="AY12" i="37"/>
  <c r="AY18" i="37" s="1"/>
  <c r="R361" i="50"/>
  <c r="AB6" i="50"/>
  <c r="R359" i="53"/>
  <c r="G25" i="46"/>
  <c r="P424" i="45"/>
  <c r="P477" i="54"/>
  <c r="E31" i="54" s="1"/>
  <c r="P477" i="47"/>
  <c r="E31" i="47" s="1"/>
  <c r="G30" i="47" s="1"/>
  <c r="P424" i="43"/>
  <c r="R359" i="54"/>
  <c r="AC6" i="54"/>
  <c r="AC6" i="49"/>
  <c r="R359" i="49"/>
  <c r="R360" i="46"/>
  <c r="AD6" i="46"/>
  <c r="AD8" i="46" s="1"/>
  <c r="Y40" i="46" s="1"/>
  <c r="R361" i="47"/>
  <c r="AB6" i="47"/>
  <c r="AB8" i="47" s="1"/>
  <c r="P424" i="17"/>
  <c r="P370" i="39"/>
  <c r="G30" i="39" s="1"/>
  <c r="S360" i="39"/>
  <c r="AD7" i="39"/>
  <c r="AD8" i="39" s="1"/>
  <c r="Y40" i="39" s="1"/>
  <c r="S359" i="54"/>
  <c r="AC7" i="54"/>
  <c r="S361" i="45"/>
  <c r="R360" i="44"/>
  <c r="P531" i="49"/>
  <c r="P531" i="54"/>
  <c r="P370" i="48"/>
  <c r="R360" i="42"/>
  <c r="R360" i="50"/>
  <c r="AD6" i="50"/>
  <c r="G25" i="54"/>
  <c r="S360" i="38"/>
  <c r="AD7" i="38"/>
  <c r="AD8" i="38" s="1"/>
  <c r="Y40" i="38" s="1"/>
  <c r="S359" i="50"/>
  <c r="AC7" i="50"/>
  <c r="P424" i="44"/>
  <c r="P531" i="47"/>
  <c r="AD7" i="48"/>
  <c r="S360" i="48"/>
  <c r="R360" i="49"/>
  <c r="R361" i="44"/>
  <c r="R359" i="41"/>
  <c r="AC6" i="41"/>
  <c r="AC7" i="49"/>
  <c r="S359" i="49"/>
  <c r="S361" i="44"/>
  <c r="AB7" i="44"/>
  <c r="S359" i="46"/>
  <c r="AC6" i="43"/>
  <c r="R359" i="43"/>
  <c r="P424" i="49"/>
  <c r="R361" i="42"/>
  <c r="AB6" i="42"/>
  <c r="P370" i="54"/>
  <c r="G30" i="54" s="1"/>
  <c r="R361" i="37"/>
  <c r="R359" i="46"/>
  <c r="AC6" i="46"/>
  <c r="S360" i="54"/>
  <c r="AD7" i="54"/>
  <c r="AD8" i="54" s="1"/>
  <c r="R360" i="45"/>
  <c r="AD6" i="45"/>
  <c r="P531" i="37"/>
  <c r="S359" i="41"/>
  <c r="AC7" i="41"/>
  <c r="P425" i="46"/>
  <c r="O425" i="46"/>
  <c r="O424" i="46" s="1"/>
  <c r="S414" i="46" s="1"/>
  <c r="P531" i="51"/>
  <c r="P424" i="51"/>
  <c r="AC8" i="52"/>
  <c r="P477" i="17"/>
  <c r="E31" i="17" s="1"/>
  <c r="G30" i="17" s="1"/>
  <c r="BF12" i="17" s="1"/>
  <c r="BF18" i="17" s="1"/>
  <c r="S361" i="39"/>
  <c r="F36" i="17"/>
  <c r="AB6" i="17"/>
  <c r="AD7" i="55"/>
  <c r="P477" i="44"/>
  <c r="E31" i="44" s="1"/>
  <c r="G30" i="44" s="1"/>
  <c r="BF12" i="44" s="1"/>
  <c r="BF18" i="44" s="1"/>
  <c r="AB6" i="49"/>
  <c r="R361" i="49"/>
  <c r="P531" i="44"/>
  <c r="P424" i="40"/>
  <c r="R360" i="47"/>
  <c r="AD6" i="47"/>
  <c r="R360" i="40"/>
  <c r="AD6" i="40"/>
  <c r="P370" i="42"/>
  <c r="G30" i="42" s="1"/>
  <c r="AB6" i="48"/>
  <c r="R361" i="48"/>
  <c r="R361" i="43"/>
  <c r="AB6" i="43"/>
  <c r="R361" i="45"/>
  <c r="AB6" i="45"/>
  <c r="P531" i="17"/>
  <c r="P424" i="37"/>
  <c r="S361" i="52"/>
  <c r="AB7" i="52"/>
  <c r="AR15" i="52" s="1"/>
  <c r="P531" i="48"/>
  <c r="G35" i="39"/>
  <c r="AR12" i="39" s="1"/>
  <c r="AR18" i="39" s="1"/>
  <c r="P531" i="45"/>
  <c r="AB8" i="53"/>
  <c r="AR14" i="53"/>
  <c r="AR15" i="53"/>
  <c r="P477" i="45"/>
  <c r="E31" i="45" s="1"/>
  <c r="G30" i="45" s="1"/>
  <c r="P477" i="38"/>
  <c r="E31" i="38" s="1"/>
  <c r="P477" i="48"/>
  <c r="E31" i="48" s="1"/>
  <c r="S467" i="48"/>
  <c r="P370" i="55"/>
  <c r="G30" i="55" s="1"/>
  <c r="S361" i="38"/>
  <c r="AB7" i="38"/>
  <c r="S360" i="42"/>
  <c r="AD7" i="42"/>
  <c r="S361" i="50"/>
  <c r="AB7" i="50"/>
  <c r="P370" i="37"/>
  <c r="G30" i="37" s="1"/>
  <c r="R359" i="37"/>
  <c r="AC6" i="37"/>
  <c r="S360" i="37"/>
  <c r="AD7" i="37"/>
  <c r="R361" i="39"/>
  <c r="AB6" i="39"/>
  <c r="R359" i="17"/>
  <c r="AC6" i="17"/>
  <c r="P477" i="50"/>
  <c r="E31" i="50" s="1"/>
  <c r="G30" i="50" s="1"/>
  <c r="P424" i="47"/>
  <c r="AY15" i="39" l="1"/>
  <c r="BA15" i="39" s="1"/>
  <c r="BA16" i="39" s="1"/>
  <c r="AY14" i="52"/>
  <c r="AD8" i="52"/>
  <c r="Y40" i="52" s="1"/>
  <c r="Y19" i="38"/>
  <c r="AF44" i="38" s="1"/>
  <c r="AC8" i="55"/>
  <c r="AY14" i="45"/>
  <c r="AB8" i="54"/>
  <c r="Y17" i="54" s="1"/>
  <c r="AR14" i="40"/>
  <c r="G30" i="48"/>
  <c r="AR14" i="54"/>
  <c r="AC8" i="45"/>
  <c r="Y15" i="45" s="1"/>
  <c r="Y16" i="45" s="1"/>
  <c r="AF18" i="45" s="1"/>
  <c r="AY14" i="42"/>
  <c r="BA15" i="42" s="1"/>
  <c r="BA16" i="42" s="1"/>
  <c r="AC8" i="50"/>
  <c r="Y15" i="50" s="1"/>
  <c r="Y16" i="50" s="1"/>
  <c r="AF18" i="50" s="1"/>
  <c r="BF15" i="48"/>
  <c r="AY15" i="45"/>
  <c r="AY15" i="44"/>
  <c r="AC8" i="44"/>
  <c r="Y19" i="44" s="1"/>
  <c r="AY14" i="44"/>
  <c r="AY24" i="44" s="1"/>
  <c r="BA28" i="44" s="1"/>
  <c r="AX36" i="44" s="1"/>
  <c r="AY14" i="48"/>
  <c r="AC8" i="51"/>
  <c r="Y19" i="51" s="1"/>
  <c r="Y20" i="51" s="1"/>
  <c r="BF14" i="52"/>
  <c r="BH15" i="52" s="1"/>
  <c r="AY15" i="48"/>
  <c r="BF14" i="41"/>
  <c r="BH15" i="41" s="1"/>
  <c r="G30" i="38"/>
  <c r="BF12" i="38" s="1"/>
  <c r="BF18" i="38" s="1"/>
  <c r="AC8" i="42"/>
  <c r="AB8" i="51"/>
  <c r="Y43" i="51" s="1"/>
  <c r="AR14" i="55"/>
  <c r="G30" i="53"/>
  <c r="BF12" i="53" s="1"/>
  <c r="BF18" i="53" s="1"/>
  <c r="AR14" i="51"/>
  <c r="AT15" i="51" s="1"/>
  <c r="AC8" i="39"/>
  <c r="Y15" i="39" s="1"/>
  <c r="Y16" i="39" s="1"/>
  <c r="AF18" i="39" s="1"/>
  <c r="AY14" i="40"/>
  <c r="AR15" i="55"/>
  <c r="AR25" i="54"/>
  <c r="AT28" i="54" s="1"/>
  <c r="AX35" i="54" s="1"/>
  <c r="Y20" i="38"/>
  <c r="BA15" i="38"/>
  <c r="BA16" i="38" s="1"/>
  <c r="AY14" i="47"/>
  <c r="BA15" i="47" s="1"/>
  <c r="BA16" i="47" s="1"/>
  <c r="AC8" i="47"/>
  <c r="Y19" i="47" s="1"/>
  <c r="AL19" i="47" s="1"/>
  <c r="AL21" i="47" s="1"/>
  <c r="AY24" i="38"/>
  <c r="BA28" i="38" s="1"/>
  <c r="AX36" i="38" s="1"/>
  <c r="Y19" i="48"/>
  <c r="AR39" i="48" s="1"/>
  <c r="AL19" i="38"/>
  <c r="AL21" i="38" s="1"/>
  <c r="Y42" i="38" s="1"/>
  <c r="AD8" i="53"/>
  <c r="Y40" i="53" s="1"/>
  <c r="BF14" i="53"/>
  <c r="BF24" i="53" s="1"/>
  <c r="AR39" i="38"/>
  <c r="AY15" i="40"/>
  <c r="BF14" i="51"/>
  <c r="AR15" i="47"/>
  <c r="AB8" i="46"/>
  <c r="Y17" i="46" s="1"/>
  <c r="R360" i="17"/>
  <c r="AR14" i="46"/>
  <c r="AR25" i="46" s="1"/>
  <c r="AT28" i="46" s="1"/>
  <c r="AX35" i="46" s="1"/>
  <c r="AD8" i="48"/>
  <c r="Y40" i="48" s="1"/>
  <c r="BA15" i="51"/>
  <c r="BA16" i="51" s="1"/>
  <c r="AR14" i="47"/>
  <c r="BF15" i="51"/>
  <c r="AR15" i="40"/>
  <c r="AB8" i="40"/>
  <c r="AF40" i="40" s="1"/>
  <c r="AB8" i="41"/>
  <c r="AR15" i="41"/>
  <c r="AR14" i="41"/>
  <c r="P424" i="46"/>
  <c r="AB8" i="52"/>
  <c r="Y17" i="52" s="1"/>
  <c r="BF14" i="48"/>
  <c r="BF24" i="48" s="1"/>
  <c r="BF15" i="54"/>
  <c r="AR14" i="52"/>
  <c r="AR25" i="52" s="1"/>
  <c r="AT28" i="52" s="1"/>
  <c r="AX35" i="52" s="1"/>
  <c r="AY24" i="51"/>
  <c r="BA28" i="51" s="1"/>
  <c r="AX36" i="51" s="1"/>
  <c r="Y15" i="40"/>
  <c r="Y16" i="40" s="1"/>
  <c r="AF18" i="40" s="1"/>
  <c r="AD8" i="55"/>
  <c r="Y40" i="55" s="1"/>
  <c r="BF15" i="55"/>
  <c r="BF14" i="55"/>
  <c r="AT15" i="54"/>
  <c r="AR35" i="54"/>
  <c r="BF14" i="54"/>
  <c r="AD8" i="50"/>
  <c r="Y40" i="50" s="1"/>
  <c r="BF15" i="50"/>
  <c r="BF14" i="50"/>
  <c r="AD8" i="47"/>
  <c r="Y40" i="47" s="1"/>
  <c r="BF14" i="47"/>
  <c r="BF15" i="47"/>
  <c r="BF15" i="46"/>
  <c r="BF14" i="46"/>
  <c r="AD8" i="45"/>
  <c r="Y40" i="45" s="1"/>
  <c r="BF14" i="45"/>
  <c r="BF15" i="45"/>
  <c r="AD8" i="44"/>
  <c r="Y40" i="44" s="1"/>
  <c r="BF15" i="44"/>
  <c r="BF14" i="44"/>
  <c r="BH15" i="43"/>
  <c r="BF24" i="43"/>
  <c r="BH28" i="43" s="1"/>
  <c r="BH29" i="43" s="1"/>
  <c r="AX37" i="43" s="1"/>
  <c r="BF15" i="42"/>
  <c r="BF14" i="42"/>
  <c r="AD8" i="42"/>
  <c r="Y40" i="42" s="1"/>
  <c r="AD8" i="40"/>
  <c r="Y40" i="40" s="1"/>
  <c r="BF15" i="40"/>
  <c r="BF14" i="40"/>
  <c r="BF15" i="39"/>
  <c r="BF14" i="39"/>
  <c r="BF14" i="38"/>
  <c r="BF15" i="38"/>
  <c r="Y19" i="45"/>
  <c r="Y20" i="45" s="1"/>
  <c r="AC8" i="54"/>
  <c r="Y19" i="54" s="1"/>
  <c r="AY14" i="54"/>
  <c r="AY15" i="54"/>
  <c r="BF12" i="54"/>
  <c r="BF18" i="54" s="1"/>
  <c r="AY12" i="54"/>
  <c r="AY18" i="54" s="1"/>
  <c r="AC8" i="53"/>
  <c r="Y15" i="53" s="1"/>
  <c r="Y16" i="53" s="1"/>
  <c r="AF18" i="53" s="1"/>
  <c r="AY15" i="53"/>
  <c r="AY14" i="53"/>
  <c r="BA15" i="52"/>
  <c r="BA16" i="52" s="1"/>
  <c r="AY24" i="52"/>
  <c r="BA28" i="52" s="1"/>
  <c r="AX36" i="52" s="1"/>
  <c r="AY15" i="50"/>
  <c r="AY14" i="50"/>
  <c r="BF12" i="50"/>
  <c r="BF18" i="50" s="1"/>
  <c r="AC8" i="49"/>
  <c r="Y15" i="49" s="1"/>
  <c r="Y16" i="49" s="1"/>
  <c r="AF18" i="49" s="1"/>
  <c r="AD8" i="49"/>
  <c r="Y40" i="49" s="1"/>
  <c r="BF14" i="49"/>
  <c r="BF15" i="49"/>
  <c r="AY14" i="49"/>
  <c r="AY15" i="49"/>
  <c r="AY12" i="49"/>
  <c r="AY18" i="49" s="1"/>
  <c r="BF12" i="48"/>
  <c r="BF18" i="48" s="1"/>
  <c r="BF12" i="47"/>
  <c r="BF18" i="47" s="1"/>
  <c r="AY14" i="46"/>
  <c r="AY15" i="46"/>
  <c r="AY12" i="46"/>
  <c r="AY18" i="46" s="1"/>
  <c r="BF12" i="45"/>
  <c r="BF18" i="45" s="1"/>
  <c r="AY24" i="45"/>
  <c r="BA28" i="45" s="1"/>
  <c r="AX36" i="45" s="1"/>
  <c r="AC8" i="43"/>
  <c r="Y19" i="43" s="1"/>
  <c r="AY15" i="43"/>
  <c r="AY14" i="43"/>
  <c r="BF12" i="42"/>
  <c r="BF18" i="42" s="1"/>
  <c r="AY12" i="41"/>
  <c r="AY18" i="41" s="1"/>
  <c r="AY15" i="41"/>
  <c r="AY14" i="41"/>
  <c r="AY24" i="39"/>
  <c r="BA28" i="39" s="1"/>
  <c r="AX36" i="39" s="1"/>
  <c r="BF12" i="39"/>
  <c r="BF18" i="39" s="1"/>
  <c r="AD8" i="37"/>
  <c r="Y40" i="37" s="1"/>
  <c r="BF14" i="37"/>
  <c r="BF15" i="37"/>
  <c r="BF12" i="37"/>
  <c r="BF18" i="37" s="1"/>
  <c r="AC8" i="37"/>
  <c r="Y19" i="37" s="1"/>
  <c r="AY15" i="37"/>
  <c r="AY14" i="37"/>
  <c r="AY15" i="17"/>
  <c r="AY14" i="17"/>
  <c r="AC8" i="17"/>
  <c r="AY14" i="55"/>
  <c r="AY15" i="55"/>
  <c r="BF12" i="55"/>
  <c r="BF18" i="55" s="1"/>
  <c r="Y15" i="55"/>
  <c r="Y16" i="55" s="1"/>
  <c r="AF18" i="55" s="1"/>
  <c r="Y19" i="55"/>
  <c r="Y20" i="55" s="1"/>
  <c r="AL19" i="40"/>
  <c r="AL21" i="40" s="1"/>
  <c r="AF44" i="40"/>
  <c r="AR39" i="40"/>
  <c r="Y20" i="40"/>
  <c r="AC8" i="46"/>
  <c r="Y19" i="46" s="1"/>
  <c r="AX37" i="54"/>
  <c r="Y40" i="54"/>
  <c r="AR14" i="37"/>
  <c r="AB8" i="37"/>
  <c r="AR15" i="37"/>
  <c r="AR14" i="42"/>
  <c r="AR15" i="42"/>
  <c r="AB8" i="42"/>
  <c r="AC8" i="41"/>
  <c r="AR14" i="44"/>
  <c r="AB8" i="44"/>
  <c r="AR15" i="44"/>
  <c r="Y15" i="52"/>
  <c r="Y16" i="52" s="1"/>
  <c r="AF18" i="52" s="1"/>
  <c r="Y19" i="52"/>
  <c r="AB8" i="17"/>
  <c r="AR15" i="17"/>
  <c r="AR14" i="17"/>
  <c r="AR15" i="43"/>
  <c r="AR14" i="43"/>
  <c r="AB8" i="43"/>
  <c r="AR15" i="49"/>
  <c r="AB8" i="49"/>
  <c r="AR14" i="49"/>
  <c r="AR25" i="53"/>
  <c r="AT28" i="53" s="1"/>
  <c r="AX35" i="53" s="1"/>
  <c r="AT15" i="53"/>
  <c r="AR15" i="48"/>
  <c r="AR14" i="48"/>
  <c r="AB8" i="48"/>
  <c r="AF40" i="53"/>
  <c r="Y43" i="53"/>
  <c r="AR35" i="53"/>
  <c r="Y17" i="53"/>
  <c r="AF40" i="47"/>
  <c r="AR35" i="47"/>
  <c r="Y43" i="47"/>
  <c r="Y17" i="47"/>
  <c r="AB8" i="45"/>
  <c r="AR15" i="45"/>
  <c r="AR14" i="45"/>
  <c r="AR14" i="38"/>
  <c r="AB8" i="38"/>
  <c r="AR15" i="38"/>
  <c r="F26" i="17"/>
  <c r="AR15" i="39"/>
  <c r="AB8" i="39"/>
  <c r="AR14" i="39"/>
  <c r="AB8" i="50"/>
  <c r="AR14" i="50"/>
  <c r="AR15" i="50"/>
  <c r="AR39" i="51"/>
  <c r="Y43" i="55"/>
  <c r="Y17" i="55"/>
  <c r="AF40" i="55"/>
  <c r="AR35" i="55"/>
  <c r="AD6" i="17"/>
  <c r="F31" i="17"/>
  <c r="Y18" i="54"/>
  <c r="BA15" i="48" l="1"/>
  <c r="BA16" i="48" s="1"/>
  <c r="Y19" i="50"/>
  <c r="Y20" i="50" s="1"/>
  <c r="BA15" i="45"/>
  <c r="BA16" i="45" s="1"/>
  <c r="Y43" i="54"/>
  <c r="AL19" i="51"/>
  <c r="AL21" i="51" s="1"/>
  <c r="AF44" i="51"/>
  <c r="AY24" i="42"/>
  <c r="BA28" i="42" s="1"/>
  <c r="AX36" i="42" s="1"/>
  <c r="AT15" i="40"/>
  <c r="Y15" i="51"/>
  <c r="Y16" i="51" s="1"/>
  <c r="AF18" i="51" s="1"/>
  <c r="AF20" i="51" s="1"/>
  <c r="BF24" i="52"/>
  <c r="BH28" i="52" s="1"/>
  <c r="BH29" i="52" s="1"/>
  <c r="AX37" i="52" s="1"/>
  <c r="AF40" i="54"/>
  <c r="AR35" i="51"/>
  <c r="AY24" i="48"/>
  <c r="BA28" i="48" s="1"/>
  <c r="AX36" i="48" s="1"/>
  <c r="BA15" i="44"/>
  <c r="BA16" i="44" s="1"/>
  <c r="AF40" i="51"/>
  <c r="Y17" i="51"/>
  <c r="Y18" i="51" s="1"/>
  <c r="BH28" i="53"/>
  <c r="BH29" i="53" s="1"/>
  <c r="AX37" i="53" s="1"/>
  <c r="BH15" i="51"/>
  <c r="Y15" i="44"/>
  <c r="Y16" i="44" s="1"/>
  <c r="AF18" i="44" s="1"/>
  <c r="AR25" i="51"/>
  <c r="AT28" i="51" s="1"/>
  <c r="AX35" i="51" s="1"/>
  <c r="BF24" i="41"/>
  <c r="BH28" i="41" s="1"/>
  <c r="BH29" i="41" s="1"/>
  <c r="AX37" i="41" s="1"/>
  <c r="AR25" i="55"/>
  <c r="AT28" i="55" s="1"/>
  <c r="AX35" i="55" s="1"/>
  <c r="Y19" i="42"/>
  <c r="Y15" i="42"/>
  <c r="Y16" i="42" s="1"/>
  <c r="AF18" i="42" s="1"/>
  <c r="Y19" i="39"/>
  <c r="AY24" i="40"/>
  <c r="BA28" i="40" s="1"/>
  <c r="AX36" i="40" s="1"/>
  <c r="AR43" i="38"/>
  <c r="AT15" i="55"/>
  <c r="AT15" i="52"/>
  <c r="AY24" i="47"/>
  <c r="BA28" i="47" s="1"/>
  <c r="AX36" i="47" s="1"/>
  <c r="AL19" i="48"/>
  <c r="AL21" i="48" s="1"/>
  <c r="Y42" i="48" s="1"/>
  <c r="Y20" i="47"/>
  <c r="AF44" i="47"/>
  <c r="BF24" i="51"/>
  <c r="BH28" i="51" s="1"/>
  <c r="BH29" i="51" s="1"/>
  <c r="AX37" i="51" s="1"/>
  <c r="BA15" i="40"/>
  <c r="BA16" i="40" s="1"/>
  <c r="AR39" i="47"/>
  <c r="Y15" i="47"/>
  <c r="Y16" i="47" s="1"/>
  <c r="AF18" i="47" s="1"/>
  <c r="AF20" i="47" s="1"/>
  <c r="AT15" i="46"/>
  <c r="AR25" i="47"/>
  <c r="AT28" i="47" s="1"/>
  <c r="AX35" i="47" s="1"/>
  <c r="AF44" i="48"/>
  <c r="Y20" i="48"/>
  <c r="AR35" i="40"/>
  <c r="AR35" i="52"/>
  <c r="AT15" i="47"/>
  <c r="Y43" i="52"/>
  <c r="Y43" i="46"/>
  <c r="AF40" i="52"/>
  <c r="AR35" i="46"/>
  <c r="AR25" i="40"/>
  <c r="AT28" i="40" s="1"/>
  <c r="AX35" i="40" s="1"/>
  <c r="BH15" i="53"/>
  <c r="AF40" i="46"/>
  <c r="Y43" i="40"/>
  <c r="Y17" i="40"/>
  <c r="AF20" i="40" s="1"/>
  <c r="BF24" i="39"/>
  <c r="BH28" i="39" s="1"/>
  <c r="BH29" i="39" s="1"/>
  <c r="AX37" i="39" s="1"/>
  <c r="AY24" i="17"/>
  <c r="BA28" i="17" s="1"/>
  <c r="AX36" i="17" s="1"/>
  <c r="BF24" i="55"/>
  <c r="BH28" i="55" s="1"/>
  <c r="BH29" i="55" s="1"/>
  <c r="AX37" i="55" s="1"/>
  <c r="BH15" i="39"/>
  <c r="AT15" i="41"/>
  <c r="AR25" i="41"/>
  <c r="AT28" i="41" s="1"/>
  <c r="AX35" i="41" s="1"/>
  <c r="Y43" i="41"/>
  <c r="AF40" i="41"/>
  <c r="Y17" i="41"/>
  <c r="Y18" i="41" s="1"/>
  <c r="AR35" i="41"/>
  <c r="BH15" i="48"/>
  <c r="BH28" i="48"/>
  <c r="BH29" i="48" s="1"/>
  <c r="AX37" i="48" s="1"/>
  <c r="AY24" i="41"/>
  <c r="BA28" i="41" s="1"/>
  <c r="AX36" i="41" s="1"/>
  <c r="BH15" i="42"/>
  <c r="BH15" i="40"/>
  <c r="BF24" i="40"/>
  <c r="BH28" i="40" s="1"/>
  <c r="BH29" i="40" s="1"/>
  <c r="AX37" i="40" s="1"/>
  <c r="BF24" i="37"/>
  <c r="BH28" i="37" s="1"/>
  <c r="BH29" i="37" s="1"/>
  <c r="AX37" i="37" s="1"/>
  <c r="Y15" i="37"/>
  <c r="Y16" i="37" s="1"/>
  <c r="AF18" i="37" s="1"/>
  <c r="BA15" i="55"/>
  <c r="BA16" i="55" s="1"/>
  <c r="Y15" i="54"/>
  <c r="Y16" i="54" s="1"/>
  <c r="AF18" i="54" s="1"/>
  <c r="AF20" i="54" s="1"/>
  <c r="AR42" i="54" s="1"/>
  <c r="Y19" i="53"/>
  <c r="Y20" i="53" s="1"/>
  <c r="AY24" i="50"/>
  <c r="BA28" i="50" s="1"/>
  <c r="AX36" i="50" s="1"/>
  <c r="AL19" i="50"/>
  <c r="AL21" i="50" s="1"/>
  <c r="AR43" i="50" s="1"/>
  <c r="Y19" i="49"/>
  <c r="AF44" i="49" s="1"/>
  <c r="AY24" i="46"/>
  <c r="BA28" i="46" s="1"/>
  <c r="AX36" i="46" s="1"/>
  <c r="AL19" i="45"/>
  <c r="AL21" i="45" s="1"/>
  <c r="AR43" i="45" s="1"/>
  <c r="AR39" i="45"/>
  <c r="AF44" i="45"/>
  <c r="Y15" i="43"/>
  <c r="Y16" i="43" s="1"/>
  <c r="AF18" i="43" s="1"/>
  <c r="BA15" i="37"/>
  <c r="BA16" i="37" s="1"/>
  <c r="BH15" i="55"/>
  <c r="BH15" i="54"/>
  <c r="BF24" i="54"/>
  <c r="BH28" i="54" s="1"/>
  <c r="BH29" i="54" s="1"/>
  <c r="BH15" i="50"/>
  <c r="BF24" i="50"/>
  <c r="BH28" i="50" s="1"/>
  <c r="BH29" i="50" s="1"/>
  <c r="AX37" i="50" s="1"/>
  <c r="BH15" i="49"/>
  <c r="BH15" i="47"/>
  <c r="BF24" i="47"/>
  <c r="BH28" i="47" s="1"/>
  <c r="BH29" i="47" s="1"/>
  <c r="AX37" i="47" s="1"/>
  <c r="BH15" i="46"/>
  <c r="BF24" i="46"/>
  <c r="BH28" i="46" s="1"/>
  <c r="BH29" i="46" s="1"/>
  <c r="AX37" i="46" s="1"/>
  <c r="BH15" i="45"/>
  <c r="BF24" i="45"/>
  <c r="BH28" i="45" s="1"/>
  <c r="BH29" i="45" s="1"/>
  <c r="AX37" i="45" s="1"/>
  <c r="BH15" i="44"/>
  <c r="BF24" i="44"/>
  <c r="BH28" i="44" s="1"/>
  <c r="BH29" i="44" s="1"/>
  <c r="AX37" i="44" s="1"/>
  <c r="BF24" i="42"/>
  <c r="BH28" i="42" s="1"/>
  <c r="BH29" i="42" s="1"/>
  <c r="AX37" i="42" s="1"/>
  <c r="BH15" i="38"/>
  <c r="BF24" i="38"/>
  <c r="BH28" i="38" s="1"/>
  <c r="BH29" i="38" s="1"/>
  <c r="AX37" i="38" s="1"/>
  <c r="AY24" i="54"/>
  <c r="BA28" i="54" s="1"/>
  <c r="AX36" i="54" s="1"/>
  <c r="Y15" i="46"/>
  <c r="Y16" i="46" s="1"/>
  <c r="AF18" i="46" s="1"/>
  <c r="AF20" i="46" s="1"/>
  <c r="BA15" i="41"/>
  <c r="BA16" i="41" s="1"/>
  <c r="AD8" i="17"/>
  <c r="Y40" i="17" s="1"/>
  <c r="BF14" i="17"/>
  <c r="BF15" i="17"/>
  <c r="BA15" i="54"/>
  <c r="BA16" i="54" s="1"/>
  <c r="BA15" i="53"/>
  <c r="BA16" i="53" s="1"/>
  <c r="AY24" i="53"/>
  <c r="BA28" i="53" s="1"/>
  <c r="AX36" i="53" s="1"/>
  <c r="BA15" i="50"/>
  <c r="BA16" i="50" s="1"/>
  <c r="AR39" i="50"/>
  <c r="AF44" i="50"/>
  <c r="AY24" i="49"/>
  <c r="BA28" i="49" s="1"/>
  <c r="AX36" i="49" s="1"/>
  <c r="BF24" i="49"/>
  <c r="BH28" i="49" s="1"/>
  <c r="BH29" i="49" s="1"/>
  <c r="AX37" i="49" s="1"/>
  <c r="BA15" i="49"/>
  <c r="BA16" i="49" s="1"/>
  <c r="BA15" i="46"/>
  <c r="BA16" i="46" s="1"/>
  <c r="AY24" i="43"/>
  <c r="BA28" i="43" s="1"/>
  <c r="AX36" i="43" s="1"/>
  <c r="BA15" i="43"/>
  <c r="BA16" i="43" s="1"/>
  <c r="BH15" i="37"/>
  <c r="AY24" i="37"/>
  <c r="BA28" i="37" s="1"/>
  <c r="AX36" i="37" s="1"/>
  <c r="BA15" i="17"/>
  <c r="BA16" i="17" s="1"/>
  <c r="AY24" i="55"/>
  <c r="BA28" i="55" s="1"/>
  <c r="AX36" i="55" s="1"/>
  <c r="AR39" i="55"/>
  <c r="AF44" i="55"/>
  <c r="AL19" i="55"/>
  <c r="AL21" i="55" s="1"/>
  <c r="Y42" i="55" s="1"/>
  <c r="AF44" i="54"/>
  <c r="AL19" i="54"/>
  <c r="AL21" i="54" s="1"/>
  <c r="AR39" i="54"/>
  <c r="Y20" i="54"/>
  <c r="Y42" i="47"/>
  <c r="AR43" i="47"/>
  <c r="AR43" i="40"/>
  <c r="Y42" i="40"/>
  <c r="Y19" i="41"/>
  <c r="Y15" i="41"/>
  <c r="Y16" i="41" s="1"/>
  <c r="AF18" i="41" s="1"/>
  <c r="AR25" i="37"/>
  <c r="AT28" i="37" s="1"/>
  <c r="AX35" i="37" s="1"/>
  <c r="AT15" i="37"/>
  <c r="AF40" i="42"/>
  <c r="AR35" i="42"/>
  <c r="Y43" i="42"/>
  <c r="Y17" i="42"/>
  <c r="AL19" i="43"/>
  <c r="AL21" i="43" s="1"/>
  <c r="AF44" i="43"/>
  <c r="Y20" i="43"/>
  <c r="AR39" i="43"/>
  <c r="AT15" i="44"/>
  <c r="AR25" i="44"/>
  <c r="AT28" i="44" s="1"/>
  <c r="AX35" i="44" s="1"/>
  <c r="AR25" i="42"/>
  <c r="AT28" i="42" s="1"/>
  <c r="AX35" i="42" s="1"/>
  <c r="AT15" i="42"/>
  <c r="AL19" i="46"/>
  <c r="AL21" i="46" s="1"/>
  <c r="AF44" i="46"/>
  <c r="Y20" i="46"/>
  <c r="AR39" i="46"/>
  <c r="Y17" i="44"/>
  <c r="Y18" i="44" s="1"/>
  <c r="Y43" i="44"/>
  <c r="AF40" i="44"/>
  <c r="AR35" i="44"/>
  <c r="AR35" i="37"/>
  <c r="Y43" i="37"/>
  <c r="AF40" i="37"/>
  <c r="Y17" i="37"/>
  <c r="Y18" i="37" s="1"/>
  <c r="AF44" i="52"/>
  <c r="AR39" i="52"/>
  <c r="Y20" i="52"/>
  <c r="AL19" i="52"/>
  <c r="AL21" i="52" s="1"/>
  <c r="AF40" i="17"/>
  <c r="AR35" i="17"/>
  <c r="Y17" i="17"/>
  <c r="Y18" i="17" s="1"/>
  <c r="Y43" i="17"/>
  <c r="AT15" i="48"/>
  <c r="AR25" i="48"/>
  <c r="AT28" i="48" s="1"/>
  <c r="AX35" i="48" s="1"/>
  <c r="AR25" i="45"/>
  <c r="AT28" i="45" s="1"/>
  <c r="AX35" i="45" s="1"/>
  <c r="AT15" i="45"/>
  <c r="AR25" i="49"/>
  <c r="AT28" i="49" s="1"/>
  <c r="AX35" i="49" s="1"/>
  <c r="AT15" i="49"/>
  <c r="Y17" i="43"/>
  <c r="AR35" i="43"/>
  <c r="Y43" i="43"/>
  <c r="AF40" i="43"/>
  <c r="Y18" i="53"/>
  <c r="AF20" i="53"/>
  <c r="AF40" i="49"/>
  <c r="Y43" i="49"/>
  <c r="AR35" i="49"/>
  <c r="Y17" i="49"/>
  <c r="AR25" i="43"/>
  <c r="AT28" i="43" s="1"/>
  <c r="AX35" i="43" s="1"/>
  <c r="AT15" i="43"/>
  <c r="Y17" i="45"/>
  <c r="AR35" i="45"/>
  <c r="AF40" i="45"/>
  <c r="Y43" i="45"/>
  <c r="Y18" i="47"/>
  <c r="AR35" i="48"/>
  <c r="Y43" i="48"/>
  <c r="Y17" i="48"/>
  <c r="AF40" i="48"/>
  <c r="AT15" i="17"/>
  <c r="AR25" i="17"/>
  <c r="AT28" i="17" s="1"/>
  <c r="AX35" i="17" s="1"/>
  <c r="AF40" i="38"/>
  <c r="Y17" i="38"/>
  <c r="Y43" i="38"/>
  <c r="AR35" i="38"/>
  <c r="AT15" i="38"/>
  <c r="AR25" i="38"/>
  <c r="AT28" i="38" s="1"/>
  <c r="AX35" i="38" s="1"/>
  <c r="Y18" i="55"/>
  <c r="AF20" i="55"/>
  <c r="AF44" i="37"/>
  <c r="AL19" i="37"/>
  <c r="AL21" i="37" s="1"/>
  <c r="Y20" i="37"/>
  <c r="AR39" i="37"/>
  <c r="AR25" i="39"/>
  <c r="AT28" i="39" s="1"/>
  <c r="AX35" i="39" s="1"/>
  <c r="AT15" i="39"/>
  <c r="Y17" i="39"/>
  <c r="AF40" i="39"/>
  <c r="AR35" i="39"/>
  <c r="Y43" i="39"/>
  <c r="AR43" i="51"/>
  <c r="Y42" i="51"/>
  <c r="AF40" i="50"/>
  <c r="AR35" i="50"/>
  <c r="Y43" i="50"/>
  <c r="Y17" i="50"/>
  <c r="Y18" i="52"/>
  <c r="AF20" i="52"/>
  <c r="Y19" i="17"/>
  <c r="Y15" i="17"/>
  <c r="Y16" i="17" s="1"/>
  <c r="AF18" i="17" s="1"/>
  <c r="Y18" i="46"/>
  <c r="AR25" i="50"/>
  <c r="AT28" i="50" s="1"/>
  <c r="AX35" i="50" s="1"/>
  <c r="AT15" i="50"/>
  <c r="AF44" i="44"/>
  <c r="AL19" i="44"/>
  <c r="AL21" i="44" s="1"/>
  <c r="AR39" i="44"/>
  <c r="Y20" i="44"/>
  <c r="Y41" i="51" l="1"/>
  <c r="AR42" i="51"/>
  <c r="AL19" i="42"/>
  <c r="AL21" i="42" s="1"/>
  <c r="AF44" i="42"/>
  <c r="Y20" i="42"/>
  <c r="AR39" i="42"/>
  <c r="AF44" i="39"/>
  <c r="AR39" i="39"/>
  <c r="AL19" i="39"/>
  <c r="AL21" i="39" s="1"/>
  <c r="Y20" i="39"/>
  <c r="AR43" i="48"/>
  <c r="Y45" i="51"/>
  <c r="Y46" i="51" s="1"/>
  <c r="Y31" i="51" s="1"/>
  <c r="Y20" i="49"/>
  <c r="AF44" i="53"/>
  <c r="AF20" i="41"/>
  <c r="Y41" i="41" s="1"/>
  <c r="AR39" i="53"/>
  <c r="Y18" i="40"/>
  <c r="AL19" i="53"/>
  <c r="AL21" i="53" s="1"/>
  <c r="AR43" i="53" s="1"/>
  <c r="Y42" i="45"/>
  <c r="Y41" i="54"/>
  <c r="Y42" i="50"/>
  <c r="AL19" i="49"/>
  <c r="AL21" i="49" s="1"/>
  <c r="Y42" i="49" s="1"/>
  <c r="AR39" i="49"/>
  <c r="BH15" i="17"/>
  <c r="BF24" i="17"/>
  <c r="BH28" i="17" s="1"/>
  <c r="BH29" i="17" s="1"/>
  <c r="AX37" i="17" s="1"/>
  <c r="AR43" i="55"/>
  <c r="AF20" i="17"/>
  <c r="AR42" i="17" s="1"/>
  <c r="Y42" i="54"/>
  <c r="AR43" i="54"/>
  <c r="AF20" i="37"/>
  <c r="AR42" i="37" s="1"/>
  <c r="AF20" i="44"/>
  <c r="Y18" i="42"/>
  <c r="AF20" i="42"/>
  <c r="AR43" i="46"/>
  <c r="Y42" i="46"/>
  <c r="Y41" i="40"/>
  <c r="Y45" i="40" s="1"/>
  <c r="AR42" i="40"/>
  <c r="Y42" i="43"/>
  <c r="AR43" i="43"/>
  <c r="AF44" i="41"/>
  <c r="Y20" i="41"/>
  <c r="AL19" i="41"/>
  <c r="AL21" i="41" s="1"/>
  <c r="AR39" i="41"/>
  <c r="AR43" i="52"/>
  <c r="Y42" i="52"/>
  <c r="Y41" i="53"/>
  <c r="AR42" i="53"/>
  <c r="AF20" i="45"/>
  <c r="Y18" i="45"/>
  <c r="Y41" i="47"/>
  <c r="Y45" i="47" s="1"/>
  <c r="AR42" i="47"/>
  <c r="Y18" i="49"/>
  <c r="AF20" i="49"/>
  <c r="Y18" i="43"/>
  <c r="AF20" i="43"/>
  <c r="AF20" i="48"/>
  <c r="Y18" i="48"/>
  <c r="AF20" i="50"/>
  <c r="Y18" i="50"/>
  <c r="AR42" i="52"/>
  <c r="Y41" i="52"/>
  <c r="AR42" i="55"/>
  <c r="Y41" i="55"/>
  <c r="Y45" i="55" s="1"/>
  <c r="AF20" i="38"/>
  <c r="Y18" i="38"/>
  <c r="AR43" i="44"/>
  <c r="Y42" i="44"/>
  <c r="AR43" i="37"/>
  <c r="Y42" i="37"/>
  <c r="AR42" i="46"/>
  <c r="Y41" i="46"/>
  <c r="AF20" i="39"/>
  <c r="Y18" i="39"/>
  <c r="AR39" i="17"/>
  <c r="AF44" i="17"/>
  <c r="Y20" i="17"/>
  <c r="AL19" i="17"/>
  <c r="AL21" i="17" s="1"/>
  <c r="Y42" i="42" l="1"/>
  <c r="AR43" i="42"/>
  <c r="AR43" i="39"/>
  <c r="Y42" i="39"/>
  <c r="AF45" i="51"/>
  <c r="AR40" i="51"/>
  <c r="Y45" i="54"/>
  <c r="AR40" i="54" s="1"/>
  <c r="AR42" i="41"/>
  <c r="Y42" i="53"/>
  <c r="Y45" i="53" s="1"/>
  <c r="AR43" i="49"/>
  <c r="Y45" i="52"/>
  <c r="AR40" i="52" s="1"/>
  <c r="Y41" i="17"/>
  <c r="Y41" i="37"/>
  <c r="Y45" i="37" s="1"/>
  <c r="Y45" i="46"/>
  <c r="AR40" i="46" s="1"/>
  <c r="AF45" i="40"/>
  <c r="Y46" i="40"/>
  <c r="Y31" i="40" s="1"/>
  <c r="AR40" i="40"/>
  <c r="AR42" i="42"/>
  <c r="Y41" i="42"/>
  <c r="AR43" i="41"/>
  <c r="Y42" i="41"/>
  <c r="Y45" i="41" s="1"/>
  <c r="AR42" i="44"/>
  <c r="Y41" i="44"/>
  <c r="Y45" i="44" s="1"/>
  <c r="AF45" i="47"/>
  <c r="AR40" i="47"/>
  <c r="Y46" i="47"/>
  <c r="Y31" i="47" s="1"/>
  <c r="Y41" i="48"/>
  <c r="Y45" i="48" s="1"/>
  <c r="AR42" i="48"/>
  <c r="AR42" i="45"/>
  <c r="Y41" i="45"/>
  <c r="Y45" i="45" s="1"/>
  <c r="AR42" i="43"/>
  <c r="Y41" i="43"/>
  <c r="Y45" i="43" s="1"/>
  <c r="AR42" i="49"/>
  <c r="Y41" i="49"/>
  <c r="Y45" i="49" s="1"/>
  <c r="AR42" i="39"/>
  <c r="Y41" i="39"/>
  <c r="Y45" i="39" s="1"/>
  <c r="AF42" i="51"/>
  <c r="AR37" i="51"/>
  <c r="AR43" i="17"/>
  <c r="Y42" i="17"/>
  <c r="AR42" i="38"/>
  <c r="Y41" i="38"/>
  <c r="Y45" i="38" s="1"/>
  <c r="Y41" i="50"/>
  <c r="Y45" i="50" s="1"/>
  <c r="AR42" i="50"/>
  <c r="AR40" i="55"/>
  <c r="AF45" i="55"/>
  <c r="Y46" i="55"/>
  <c r="Y31" i="55" s="1"/>
  <c r="AF48" i="51" l="1"/>
  <c r="Y45" i="42"/>
  <c r="Y46" i="42" s="1"/>
  <c r="Y31" i="42" s="1"/>
  <c r="AF45" i="54"/>
  <c r="Y46" i="54"/>
  <c r="Y31" i="54" s="1"/>
  <c r="AR37" i="54" s="1"/>
  <c r="Y46" i="53"/>
  <c r="Y31" i="53" s="1"/>
  <c r="AR37" i="53" s="1"/>
  <c r="AR40" i="53"/>
  <c r="AF45" i="53"/>
  <c r="Y46" i="52"/>
  <c r="Y31" i="52" s="1"/>
  <c r="AR37" i="52" s="1"/>
  <c r="AF45" i="52"/>
  <c r="AF45" i="46"/>
  <c r="Y45" i="17"/>
  <c r="AF45" i="17" s="1"/>
  <c r="Y46" i="37"/>
  <c r="Y31" i="37" s="1"/>
  <c r="AF42" i="37" s="1"/>
  <c r="AF45" i="37"/>
  <c r="AR40" i="37"/>
  <c r="Y46" i="46"/>
  <c r="Y31" i="46" s="1"/>
  <c r="AF42" i="46" s="1"/>
  <c r="AR40" i="44"/>
  <c r="AF45" i="44"/>
  <c r="Y46" i="44"/>
  <c r="Y31" i="44" s="1"/>
  <c r="AR37" i="40"/>
  <c r="AF42" i="40"/>
  <c r="AF48" i="40" s="1"/>
  <c r="Y46" i="41"/>
  <c r="Y31" i="41" s="1"/>
  <c r="AF45" i="41"/>
  <c r="AR40" i="41"/>
  <c r="Y46" i="45"/>
  <c r="Y31" i="45" s="1"/>
  <c r="AR40" i="45"/>
  <c r="AF45" i="45"/>
  <c r="AF45" i="48"/>
  <c r="AR40" i="48"/>
  <c r="Y46" i="48"/>
  <c r="Y31" i="48" s="1"/>
  <c r="Y46" i="49"/>
  <c r="Y31" i="49" s="1"/>
  <c r="AR40" i="49"/>
  <c r="AF45" i="49"/>
  <c r="AR37" i="47"/>
  <c r="AF42" i="47"/>
  <c r="AF48" i="47" s="1"/>
  <c r="Y46" i="43"/>
  <c r="Y31" i="43" s="1"/>
  <c r="AF45" i="43"/>
  <c r="AR40" i="43"/>
  <c r="AR40" i="50"/>
  <c r="Y46" i="50"/>
  <c r="Y31" i="50" s="1"/>
  <c r="AF45" i="50"/>
  <c r="AF42" i="55"/>
  <c r="AF48" i="55" s="1"/>
  <c r="AR37" i="55"/>
  <c r="AR40" i="38"/>
  <c r="AF45" i="38"/>
  <c r="Y46" i="38"/>
  <c r="Y31" i="38" s="1"/>
  <c r="AR40" i="39"/>
  <c r="AF45" i="39"/>
  <c r="Y46" i="39"/>
  <c r="Y31" i="39" s="1"/>
  <c r="N25" i="51"/>
  <c r="N26" i="51"/>
  <c r="AS52" i="51"/>
  <c r="BU31" i="51"/>
  <c r="AS57" i="51" s="1"/>
  <c r="C52" i="51"/>
  <c r="N28" i="51"/>
  <c r="AS46" i="51"/>
  <c r="N27" i="51"/>
  <c r="BM11" i="51"/>
  <c r="BM16" i="51" s="1"/>
  <c r="AX38" i="51" s="1"/>
  <c r="AS49" i="51"/>
  <c r="AF45" i="42" l="1"/>
  <c r="AR40" i="42"/>
  <c r="AF42" i="54"/>
  <c r="AF48" i="54" s="1"/>
  <c r="C52" i="54" s="1"/>
  <c r="F56" i="54" s="1"/>
  <c r="J56" i="54" s="1"/>
  <c r="AF42" i="53"/>
  <c r="AF48" i="53" s="1"/>
  <c r="AF48" i="37"/>
  <c r="AS52" i="37" s="1"/>
  <c r="AF42" i="52"/>
  <c r="AF48" i="52" s="1"/>
  <c r="N26" i="52" s="1"/>
  <c r="AF48" i="46"/>
  <c r="AS46" i="46" s="1"/>
  <c r="AR37" i="37"/>
  <c r="Y46" i="17"/>
  <c r="Y31" i="17" s="1"/>
  <c r="AR37" i="17" s="1"/>
  <c r="AR40" i="17"/>
  <c r="AR37" i="46"/>
  <c r="AR37" i="44"/>
  <c r="AF42" i="44"/>
  <c r="AF48" i="44" s="1"/>
  <c r="BU31" i="44" s="1"/>
  <c r="AS57" i="44" s="1"/>
  <c r="AR37" i="41"/>
  <c r="AF42" i="41"/>
  <c r="AF48" i="41" s="1"/>
  <c r="N26" i="40"/>
  <c r="AS49" i="40"/>
  <c r="AS46" i="40"/>
  <c r="AS52" i="40"/>
  <c r="N27" i="40"/>
  <c r="BM11" i="40"/>
  <c r="BM16" i="40" s="1"/>
  <c r="AX38" i="40" s="1"/>
  <c r="C52" i="40"/>
  <c r="BU31" i="40"/>
  <c r="AS57" i="40" s="1"/>
  <c r="N25" i="40"/>
  <c r="N28" i="40"/>
  <c r="AR37" i="42"/>
  <c r="AF42" i="42"/>
  <c r="AF48" i="42" s="1"/>
  <c r="AF42" i="43"/>
  <c r="AF48" i="43" s="1"/>
  <c r="AR37" i="43"/>
  <c r="C52" i="47"/>
  <c r="AS46" i="47"/>
  <c r="N25" i="47"/>
  <c r="N26" i="47"/>
  <c r="N28" i="47"/>
  <c r="AS49" i="47"/>
  <c r="AS52" i="47"/>
  <c r="BM11" i="47"/>
  <c r="BM16" i="47" s="1"/>
  <c r="AX38" i="47" s="1"/>
  <c r="N27" i="47"/>
  <c r="BU31" i="47"/>
  <c r="AS57" i="47" s="1"/>
  <c r="AF42" i="49"/>
  <c r="AF48" i="49" s="1"/>
  <c r="AR37" i="49"/>
  <c r="AF42" i="45"/>
  <c r="AF48" i="45" s="1"/>
  <c r="AR37" i="45"/>
  <c r="AF42" i="48"/>
  <c r="AF48" i="48" s="1"/>
  <c r="AR37" i="48"/>
  <c r="AF42" i="38"/>
  <c r="AF48" i="38" s="1"/>
  <c r="AR37" i="38"/>
  <c r="AF42" i="50"/>
  <c r="AF48" i="50" s="1"/>
  <c r="AR37" i="50"/>
  <c r="F46" i="51"/>
  <c r="J46" i="51" s="1"/>
  <c r="C67" i="51"/>
  <c r="F50" i="51"/>
  <c r="F56" i="51"/>
  <c r="J56" i="51" s="1"/>
  <c r="AF42" i="39"/>
  <c r="AF48" i="39" s="1"/>
  <c r="AR37" i="39"/>
  <c r="N29" i="51"/>
  <c r="N30" i="51" s="1"/>
  <c r="I50" i="51" s="1"/>
  <c r="C50" i="51"/>
  <c r="F48" i="51" s="1"/>
  <c r="J48" i="51" s="1"/>
  <c r="AW46" i="51"/>
  <c r="BM11" i="55"/>
  <c r="BM16" i="55" s="1"/>
  <c r="AX38" i="55" s="1"/>
  <c r="AS49" i="55"/>
  <c r="N28" i="55"/>
  <c r="C52" i="55"/>
  <c r="AS46" i="55"/>
  <c r="BU31" i="55"/>
  <c r="AS57" i="55" s="1"/>
  <c r="N27" i="55"/>
  <c r="N25" i="55"/>
  <c r="N26" i="55"/>
  <c r="AS52" i="55"/>
  <c r="F50" i="54" l="1"/>
  <c r="N26" i="46"/>
  <c r="AS52" i="54"/>
  <c r="N27" i="52"/>
  <c r="N26" i="54"/>
  <c r="F46" i="54"/>
  <c r="J46" i="54" s="1"/>
  <c r="C67" i="54"/>
  <c r="J26" i="58" s="1"/>
  <c r="N47" i="63" s="1"/>
  <c r="N28" i="54"/>
  <c r="BM11" i="54"/>
  <c r="BM16" i="54" s="1"/>
  <c r="AX38" i="54" s="1"/>
  <c r="N25" i="54"/>
  <c r="BU31" i="54"/>
  <c r="AS57" i="54" s="1"/>
  <c r="AS49" i="54"/>
  <c r="AS46" i="54"/>
  <c r="N27" i="54"/>
  <c r="BM11" i="52"/>
  <c r="BM16" i="52" s="1"/>
  <c r="AX38" i="52" s="1"/>
  <c r="N28" i="53"/>
  <c r="N25" i="53"/>
  <c r="BM11" i="53"/>
  <c r="BM16" i="53" s="1"/>
  <c r="AX38" i="53" s="1"/>
  <c r="N25" i="46"/>
  <c r="AS46" i="53"/>
  <c r="BU31" i="53"/>
  <c r="AS57" i="53" s="1"/>
  <c r="N27" i="53"/>
  <c r="AS49" i="53"/>
  <c r="N27" i="37"/>
  <c r="N27" i="46"/>
  <c r="C52" i="53"/>
  <c r="F56" i="53" s="1"/>
  <c r="J56" i="53" s="1"/>
  <c r="N26" i="53"/>
  <c r="N28" i="46"/>
  <c r="AS52" i="53"/>
  <c r="AS52" i="52"/>
  <c r="N25" i="52"/>
  <c r="BM11" i="37"/>
  <c r="BM16" i="37" s="1"/>
  <c r="AX38" i="37" s="1"/>
  <c r="N26" i="37"/>
  <c r="BU31" i="37"/>
  <c r="AS57" i="37" s="1"/>
  <c r="C52" i="37"/>
  <c r="C67" i="37" s="1"/>
  <c r="N28" i="37"/>
  <c r="AS49" i="37"/>
  <c r="AS46" i="37"/>
  <c r="N25" i="37"/>
  <c r="BU31" i="46"/>
  <c r="AS57" i="46" s="1"/>
  <c r="AS52" i="46"/>
  <c r="AS49" i="46"/>
  <c r="BU31" i="52"/>
  <c r="AS57" i="52" s="1"/>
  <c r="N28" i="52"/>
  <c r="AS49" i="52"/>
  <c r="AS46" i="52"/>
  <c r="C52" i="52"/>
  <c r="F46" i="52" s="1"/>
  <c r="J46" i="52" s="1"/>
  <c r="BM11" i="46"/>
  <c r="BM16" i="46" s="1"/>
  <c r="AX38" i="46" s="1"/>
  <c r="C52" i="46"/>
  <c r="C67" i="46" s="1"/>
  <c r="N28" i="44"/>
  <c r="N26" i="44"/>
  <c r="C52" i="44"/>
  <c r="C67" i="44" s="1"/>
  <c r="AS46" i="44"/>
  <c r="BM11" i="44"/>
  <c r="BM16" i="44" s="1"/>
  <c r="AX38" i="44" s="1"/>
  <c r="N25" i="44"/>
  <c r="N27" i="44"/>
  <c r="AS52" i="44"/>
  <c r="AS49" i="44"/>
  <c r="AF42" i="17"/>
  <c r="AF48" i="17" s="1"/>
  <c r="BU31" i="17" s="1"/>
  <c r="AS57" i="17" s="1"/>
  <c r="AS46" i="42"/>
  <c r="N27" i="42"/>
  <c r="BM11" i="42"/>
  <c r="BM16" i="42" s="1"/>
  <c r="AX38" i="42" s="1"/>
  <c r="N28" i="42"/>
  <c r="N25" i="42"/>
  <c r="C52" i="42"/>
  <c r="AS52" i="42"/>
  <c r="AS49" i="42"/>
  <c r="BU31" i="42"/>
  <c r="AS57" i="42" s="1"/>
  <c r="N26" i="42"/>
  <c r="AW46" i="40"/>
  <c r="N28" i="41"/>
  <c r="N25" i="41"/>
  <c r="BM11" i="41"/>
  <c r="BM16" i="41" s="1"/>
  <c r="AX38" i="41" s="1"/>
  <c r="BU31" i="41"/>
  <c r="AS57" i="41" s="1"/>
  <c r="C52" i="41"/>
  <c r="AS52" i="41"/>
  <c r="AS46" i="41"/>
  <c r="N26" i="41"/>
  <c r="N27" i="41"/>
  <c r="AS49" i="41"/>
  <c r="C50" i="40"/>
  <c r="F48" i="40" s="1"/>
  <c r="J48" i="40" s="1"/>
  <c r="N29" i="40"/>
  <c r="N30" i="40" s="1"/>
  <c r="I50" i="40" s="1"/>
  <c r="C67" i="40"/>
  <c r="F50" i="40"/>
  <c r="F56" i="40"/>
  <c r="J56" i="40" s="1"/>
  <c r="F46" i="40"/>
  <c r="J46" i="40" s="1"/>
  <c r="BU31" i="45"/>
  <c r="AS57" i="45" s="1"/>
  <c r="BM11" i="45"/>
  <c r="BM16" i="45" s="1"/>
  <c r="AX38" i="45" s="1"/>
  <c r="AS46" i="45"/>
  <c r="N27" i="45"/>
  <c r="C52" i="45"/>
  <c r="N26" i="45"/>
  <c r="N25" i="45"/>
  <c r="AS52" i="45"/>
  <c r="N28" i="45"/>
  <c r="AS49" i="45"/>
  <c r="N25" i="43"/>
  <c r="AS49" i="43"/>
  <c r="BU31" i="43"/>
  <c r="AS57" i="43" s="1"/>
  <c r="N27" i="43"/>
  <c r="BM11" i="43"/>
  <c r="BM16" i="43" s="1"/>
  <c r="AX38" i="43" s="1"/>
  <c r="N28" i="43"/>
  <c r="C52" i="43"/>
  <c r="N26" i="43"/>
  <c r="AS52" i="43"/>
  <c r="AS46" i="43"/>
  <c r="AS52" i="49"/>
  <c r="AS46" i="49"/>
  <c r="N28" i="49"/>
  <c r="C52" i="49"/>
  <c r="N27" i="49"/>
  <c r="BU31" i="49"/>
  <c r="AS57" i="49" s="1"/>
  <c r="BM11" i="49"/>
  <c r="BM16" i="49" s="1"/>
  <c r="AX38" i="49" s="1"/>
  <c r="N26" i="49"/>
  <c r="AS49" i="49"/>
  <c r="N25" i="49"/>
  <c r="N29" i="47"/>
  <c r="N30" i="47" s="1"/>
  <c r="I50" i="47" s="1"/>
  <c r="C50" i="47"/>
  <c r="F48" i="47" s="1"/>
  <c r="J48" i="47" s="1"/>
  <c r="AW46" i="47"/>
  <c r="BU31" i="48"/>
  <c r="AS57" i="48" s="1"/>
  <c r="AS52" i="48"/>
  <c r="N25" i="48"/>
  <c r="N28" i="48"/>
  <c r="C52" i="48"/>
  <c r="N27" i="48"/>
  <c r="AS46" i="48"/>
  <c r="AS49" i="48"/>
  <c r="N26" i="48"/>
  <c r="BM11" i="48"/>
  <c r="BM16" i="48" s="1"/>
  <c r="AX38" i="48" s="1"/>
  <c r="F46" i="47"/>
  <c r="J46" i="47" s="1"/>
  <c r="F50" i="47"/>
  <c r="F56" i="47"/>
  <c r="J56" i="47" s="1"/>
  <c r="C67" i="47"/>
  <c r="N28" i="39"/>
  <c r="C52" i="39"/>
  <c r="N26" i="39"/>
  <c r="BU31" i="39"/>
  <c r="AS57" i="39" s="1"/>
  <c r="BM11" i="39"/>
  <c r="BM16" i="39" s="1"/>
  <c r="AX38" i="39" s="1"/>
  <c r="N25" i="39"/>
  <c r="AS49" i="39"/>
  <c r="AS46" i="39"/>
  <c r="N27" i="39"/>
  <c r="AS52" i="39"/>
  <c r="AW46" i="55"/>
  <c r="AV49" i="51"/>
  <c r="AY53" i="51" s="1"/>
  <c r="I52" i="51"/>
  <c r="F46" i="55"/>
  <c r="J46" i="55" s="1"/>
  <c r="F50" i="55"/>
  <c r="C67" i="55"/>
  <c r="F56" i="55"/>
  <c r="J56" i="55" s="1"/>
  <c r="F54" i="51"/>
  <c r="J54" i="51" s="1"/>
  <c r="AS46" i="38"/>
  <c r="C52" i="38"/>
  <c r="AS49" i="38"/>
  <c r="AS52" i="38"/>
  <c r="BU31" i="38"/>
  <c r="AS57" i="38" s="1"/>
  <c r="N25" i="38"/>
  <c r="N26" i="38"/>
  <c r="N28" i="38"/>
  <c r="BM11" i="38"/>
  <c r="BM16" i="38" s="1"/>
  <c r="AX38" i="38" s="1"/>
  <c r="N27" i="38"/>
  <c r="J50" i="51"/>
  <c r="F52" i="51"/>
  <c r="J23" i="58"/>
  <c r="N44" i="63" s="1"/>
  <c r="I23" i="58"/>
  <c r="M44" i="63" s="1"/>
  <c r="C50" i="55"/>
  <c r="F48" i="55" s="1"/>
  <c r="J48" i="55" s="1"/>
  <c r="N29" i="55"/>
  <c r="N30" i="55" s="1"/>
  <c r="I50" i="55" s="1"/>
  <c r="N27" i="50"/>
  <c r="C52" i="50"/>
  <c r="N25" i="50"/>
  <c r="N26" i="50"/>
  <c r="AS46" i="50"/>
  <c r="BU31" i="50"/>
  <c r="AS57" i="50" s="1"/>
  <c r="N28" i="50"/>
  <c r="AS49" i="50"/>
  <c r="BM11" i="50"/>
  <c r="BM16" i="50" s="1"/>
  <c r="AX38" i="50" s="1"/>
  <c r="AS52" i="50"/>
  <c r="I26" i="58" l="1"/>
  <c r="M47" i="63" s="1"/>
  <c r="F46" i="53"/>
  <c r="J46" i="53" s="1"/>
  <c r="C50" i="54"/>
  <c r="F48" i="54" s="1"/>
  <c r="J48" i="54" s="1"/>
  <c r="AW46" i="54"/>
  <c r="AV49" i="54" s="1"/>
  <c r="AY53" i="54" s="1"/>
  <c r="N29" i="54"/>
  <c r="N30" i="54" s="1"/>
  <c r="I50" i="54" s="1"/>
  <c r="J50" i="54" s="1"/>
  <c r="F50" i="37"/>
  <c r="F46" i="46"/>
  <c r="J46" i="46" s="1"/>
  <c r="F50" i="53"/>
  <c r="AW46" i="53"/>
  <c r="I52" i="53" s="1"/>
  <c r="C50" i="46"/>
  <c r="F48" i="46" s="1"/>
  <c r="J48" i="46" s="1"/>
  <c r="C50" i="53"/>
  <c r="F48" i="53" s="1"/>
  <c r="J48" i="53" s="1"/>
  <c r="N29" i="46"/>
  <c r="N30" i="46" s="1"/>
  <c r="I50" i="46" s="1"/>
  <c r="N29" i="53"/>
  <c r="N30" i="53" s="1"/>
  <c r="I50" i="53" s="1"/>
  <c r="C67" i="53"/>
  <c r="I25" i="58" s="1"/>
  <c r="M46" i="63" s="1"/>
  <c r="F46" i="37"/>
  <c r="J46" i="37" s="1"/>
  <c r="F50" i="46"/>
  <c r="C50" i="52"/>
  <c r="F48" i="52" s="1"/>
  <c r="J48" i="52" s="1"/>
  <c r="C50" i="37"/>
  <c r="F48" i="37" s="1"/>
  <c r="J48" i="37" s="1"/>
  <c r="F56" i="46"/>
  <c r="J56" i="46" s="1"/>
  <c r="AW46" i="37"/>
  <c r="I52" i="37" s="1"/>
  <c r="AW46" i="46"/>
  <c r="AV49" i="46" s="1"/>
  <c r="AY53" i="46" s="1"/>
  <c r="C67" i="52"/>
  <c r="J24" i="58" s="1"/>
  <c r="N45" i="63" s="1"/>
  <c r="F56" i="52"/>
  <c r="J56" i="52" s="1"/>
  <c r="F50" i="52"/>
  <c r="F56" i="44"/>
  <c r="J56" i="44" s="1"/>
  <c r="F50" i="44"/>
  <c r="F46" i="44"/>
  <c r="J46" i="44" s="1"/>
  <c r="N29" i="37"/>
  <c r="N30" i="37" s="1"/>
  <c r="I50" i="37" s="1"/>
  <c r="F56" i="37"/>
  <c r="J56" i="37" s="1"/>
  <c r="N29" i="52"/>
  <c r="N30" i="52" s="1"/>
  <c r="I50" i="52" s="1"/>
  <c r="AW46" i="52"/>
  <c r="AV49" i="52" s="1"/>
  <c r="AY53" i="52" s="1"/>
  <c r="C50" i="44"/>
  <c r="F48" i="44" s="1"/>
  <c r="J48" i="44" s="1"/>
  <c r="AS52" i="17"/>
  <c r="BM11" i="17"/>
  <c r="BM16" i="17" s="1"/>
  <c r="AX38" i="17" s="1"/>
  <c r="AW46" i="44"/>
  <c r="I52" i="44" s="1"/>
  <c r="N29" i="44"/>
  <c r="N30" i="44" s="1"/>
  <c r="I50" i="44" s="1"/>
  <c r="C52" i="17"/>
  <c r="F46" i="17" s="1"/>
  <c r="J46" i="17" s="1"/>
  <c r="N27" i="17"/>
  <c r="AS49" i="17"/>
  <c r="N28" i="17"/>
  <c r="AS46" i="17"/>
  <c r="N25" i="17"/>
  <c r="N26" i="17"/>
  <c r="F54" i="47"/>
  <c r="J54" i="47" s="1"/>
  <c r="F54" i="40"/>
  <c r="J54" i="40" s="1"/>
  <c r="F52" i="40"/>
  <c r="J50" i="40"/>
  <c r="J12" i="58"/>
  <c r="N33" i="63" s="1"/>
  <c r="I12" i="58"/>
  <c r="M33" i="63" s="1"/>
  <c r="F46" i="41"/>
  <c r="J46" i="41" s="1"/>
  <c r="C67" i="41"/>
  <c r="F50" i="41"/>
  <c r="F56" i="41"/>
  <c r="J56" i="41" s="1"/>
  <c r="J52" i="51"/>
  <c r="C63" i="51" s="1"/>
  <c r="K56" i="51" s="1"/>
  <c r="C67" i="42"/>
  <c r="F46" i="42"/>
  <c r="J46" i="42" s="1"/>
  <c r="F50" i="42"/>
  <c r="F56" i="42"/>
  <c r="J56" i="42" s="1"/>
  <c r="C50" i="41"/>
  <c r="F48" i="41" s="1"/>
  <c r="J48" i="41" s="1"/>
  <c r="N29" i="41"/>
  <c r="N30" i="41" s="1"/>
  <c r="I50" i="41" s="1"/>
  <c r="N29" i="42"/>
  <c r="N30" i="42" s="1"/>
  <c r="I50" i="42" s="1"/>
  <c r="C50" i="42"/>
  <c r="F48" i="42" s="1"/>
  <c r="J48" i="42" s="1"/>
  <c r="AV49" i="40"/>
  <c r="AY53" i="40" s="1"/>
  <c r="I52" i="40"/>
  <c r="AW46" i="41"/>
  <c r="AW46" i="42"/>
  <c r="AW46" i="48"/>
  <c r="AV49" i="48" s="1"/>
  <c r="AY53" i="48" s="1"/>
  <c r="J50" i="47"/>
  <c r="F52" i="47"/>
  <c r="F46" i="43"/>
  <c r="J46" i="43" s="1"/>
  <c r="F50" i="43"/>
  <c r="F56" i="43"/>
  <c r="J56" i="43" s="1"/>
  <c r="C67" i="43"/>
  <c r="C67" i="48"/>
  <c r="F50" i="48"/>
  <c r="F56" i="48"/>
  <c r="J56" i="48" s="1"/>
  <c r="F46" i="48"/>
  <c r="J46" i="48" s="1"/>
  <c r="F50" i="49"/>
  <c r="F56" i="49"/>
  <c r="J56" i="49" s="1"/>
  <c r="F46" i="49"/>
  <c r="J46" i="49" s="1"/>
  <c r="C67" i="49"/>
  <c r="N29" i="45"/>
  <c r="N30" i="45" s="1"/>
  <c r="I50" i="45" s="1"/>
  <c r="C50" i="45"/>
  <c r="F48" i="45" s="1"/>
  <c r="J48" i="45" s="1"/>
  <c r="C50" i="48"/>
  <c r="F48" i="48" s="1"/>
  <c r="J48" i="48" s="1"/>
  <c r="N29" i="48"/>
  <c r="N30" i="48" s="1"/>
  <c r="I50" i="48" s="1"/>
  <c r="N29" i="49"/>
  <c r="N30" i="49" s="1"/>
  <c r="I50" i="49" s="1"/>
  <c r="C50" i="49"/>
  <c r="F48" i="49" s="1"/>
  <c r="J48" i="49" s="1"/>
  <c r="AW46" i="49"/>
  <c r="F46" i="45"/>
  <c r="J46" i="45" s="1"/>
  <c r="F50" i="45"/>
  <c r="C67" i="45"/>
  <c r="F56" i="45"/>
  <c r="J56" i="45" s="1"/>
  <c r="I19" i="58"/>
  <c r="M40" i="63" s="1"/>
  <c r="J19" i="58"/>
  <c r="N40" i="63" s="1"/>
  <c r="AW46" i="43"/>
  <c r="AV49" i="47"/>
  <c r="AY53" i="47" s="1"/>
  <c r="I52" i="47"/>
  <c r="N29" i="43"/>
  <c r="N30" i="43" s="1"/>
  <c r="I50" i="43" s="1"/>
  <c r="C50" i="43"/>
  <c r="F48" i="43" s="1"/>
  <c r="J48" i="43" s="1"/>
  <c r="AW46" i="45"/>
  <c r="I18" i="58"/>
  <c r="M39" i="63" s="1"/>
  <c r="J18" i="58"/>
  <c r="N39" i="63" s="1"/>
  <c r="J50" i="55"/>
  <c r="C50" i="50"/>
  <c r="F48" i="50" s="1"/>
  <c r="J48" i="50" s="1"/>
  <c r="N29" i="50"/>
  <c r="N30" i="50" s="1"/>
  <c r="I50" i="50" s="1"/>
  <c r="F52" i="55"/>
  <c r="AW46" i="50"/>
  <c r="I16" i="58"/>
  <c r="M37" i="63" s="1"/>
  <c r="J16" i="58"/>
  <c r="N37" i="63" s="1"/>
  <c r="C67" i="38"/>
  <c r="F56" i="38"/>
  <c r="J56" i="38" s="1"/>
  <c r="F46" i="38"/>
  <c r="J46" i="38" s="1"/>
  <c r="F50" i="38"/>
  <c r="AW46" i="38"/>
  <c r="F56" i="39"/>
  <c r="J56" i="39" s="1"/>
  <c r="F46" i="39"/>
  <c r="J46" i="39" s="1"/>
  <c r="C67" i="39"/>
  <c r="F50" i="39"/>
  <c r="I52" i="55"/>
  <c r="AV49" i="55"/>
  <c r="AY53" i="55" s="1"/>
  <c r="F46" i="50"/>
  <c r="J46" i="50" s="1"/>
  <c r="C67" i="50"/>
  <c r="F50" i="50"/>
  <c r="F56" i="50"/>
  <c r="J56" i="50" s="1"/>
  <c r="AW46" i="39"/>
  <c r="C50" i="38"/>
  <c r="F48" i="38" s="1"/>
  <c r="J48" i="38" s="1"/>
  <c r="N29" i="38"/>
  <c r="N30" i="38" s="1"/>
  <c r="I50" i="38" s="1"/>
  <c r="F54" i="55"/>
  <c r="J54" i="55" s="1"/>
  <c r="J9" i="58"/>
  <c r="N30" i="63" s="1"/>
  <c r="I9" i="58"/>
  <c r="M30" i="63" s="1"/>
  <c r="I27" i="58"/>
  <c r="M48" i="63" s="1"/>
  <c r="J27" i="58"/>
  <c r="N48" i="63" s="1"/>
  <c r="C50" i="39"/>
  <c r="F48" i="39" s="1"/>
  <c r="J48" i="39" s="1"/>
  <c r="N29" i="39"/>
  <c r="N30" i="39" s="1"/>
  <c r="I50" i="39" s="1"/>
  <c r="I52" i="54" l="1"/>
  <c r="F52" i="54"/>
  <c r="J50" i="37"/>
  <c r="F54" i="54"/>
  <c r="J54" i="54" s="1"/>
  <c r="AV49" i="53"/>
  <c r="AY53" i="53" s="1"/>
  <c r="F52" i="46"/>
  <c r="F52" i="53"/>
  <c r="J52" i="53" s="1"/>
  <c r="F54" i="53"/>
  <c r="J54" i="53" s="1"/>
  <c r="J50" i="46"/>
  <c r="J50" i="53"/>
  <c r="F54" i="46"/>
  <c r="J54" i="46" s="1"/>
  <c r="I52" i="46"/>
  <c r="AV49" i="37"/>
  <c r="AY53" i="37" s="1"/>
  <c r="F52" i="52"/>
  <c r="J25" i="58"/>
  <c r="N46" i="63" s="1"/>
  <c r="F54" i="52"/>
  <c r="J54" i="52" s="1"/>
  <c r="J50" i="52"/>
  <c r="F54" i="37"/>
  <c r="J54" i="37" s="1"/>
  <c r="I52" i="52"/>
  <c r="J50" i="44"/>
  <c r="F52" i="37"/>
  <c r="J52" i="37" s="1"/>
  <c r="I24" i="58"/>
  <c r="M45" i="63" s="1"/>
  <c r="F56" i="17"/>
  <c r="J56" i="17" s="1"/>
  <c r="F50" i="17"/>
  <c r="AV49" i="44"/>
  <c r="AY53" i="44" s="1"/>
  <c r="F52" i="44"/>
  <c r="J52" i="44" s="1"/>
  <c r="F54" i="44"/>
  <c r="J54" i="44" s="1"/>
  <c r="C67" i="17"/>
  <c r="I8" i="58" s="1"/>
  <c r="F48" i="17"/>
  <c r="J48" i="17" s="1"/>
  <c r="AW46" i="17"/>
  <c r="AV49" i="17" s="1"/>
  <c r="AY53" i="17" s="1"/>
  <c r="C50" i="17"/>
  <c r="F52" i="17" s="1"/>
  <c r="N29" i="17"/>
  <c r="N30" i="17" s="1"/>
  <c r="I50" i="17" s="1"/>
  <c r="I52" i="48"/>
  <c r="J52" i="40"/>
  <c r="C63" i="40" s="1"/>
  <c r="K52" i="40" s="1"/>
  <c r="F52" i="41"/>
  <c r="F52" i="50"/>
  <c r="F52" i="42"/>
  <c r="F54" i="42"/>
  <c r="J54" i="42" s="1"/>
  <c r="J50" i="41"/>
  <c r="AV49" i="42"/>
  <c r="AY53" i="42" s="1"/>
  <c r="I52" i="42"/>
  <c r="F54" i="41"/>
  <c r="J54" i="41" s="1"/>
  <c r="AV49" i="41"/>
  <c r="AY53" i="41" s="1"/>
  <c r="I52" i="41"/>
  <c r="J50" i="42"/>
  <c r="J13" i="58"/>
  <c r="N34" i="63" s="1"/>
  <c r="I13" i="58"/>
  <c r="M34" i="63" s="1"/>
  <c r="I14" i="58"/>
  <c r="M35" i="63" s="1"/>
  <c r="J14" i="58"/>
  <c r="N35" i="63" s="1"/>
  <c r="K48" i="51"/>
  <c r="K58" i="51"/>
  <c r="K50" i="51"/>
  <c r="L59" i="51"/>
  <c r="K63" i="51" s="1"/>
  <c r="K65" i="51" s="1"/>
  <c r="K46" i="51"/>
  <c r="K52" i="51"/>
  <c r="F54" i="50"/>
  <c r="J54" i="50" s="1"/>
  <c r="J52" i="47"/>
  <c r="C63" i="47" s="1"/>
  <c r="K56" i="47" s="1"/>
  <c r="F52" i="45"/>
  <c r="F54" i="45"/>
  <c r="J54" i="45" s="1"/>
  <c r="K54" i="51"/>
  <c r="J50" i="50"/>
  <c r="F52" i="48"/>
  <c r="I52" i="43"/>
  <c r="AV49" i="43"/>
  <c r="AY53" i="43" s="1"/>
  <c r="F52" i="43"/>
  <c r="I17" i="58"/>
  <c r="M38" i="63" s="1"/>
  <c r="J17" i="58"/>
  <c r="N38" i="63" s="1"/>
  <c r="J21" i="58"/>
  <c r="N42" i="63" s="1"/>
  <c r="I21" i="58"/>
  <c r="M42" i="63" s="1"/>
  <c r="I15" i="58"/>
  <c r="M36" i="63" s="1"/>
  <c r="J15" i="58"/>
  <c r="N36" i="63" s="1"/>
  <c r="I52" i="45"/>
  <c r="AV49" i="45"/>
  <c r="AY53" i="45" s="1"/>
  <c r="J50" i="45"/>
  <c r="F54" i="48"/>
  <c r="J54" i="48" s="1"/>
  <c r="F54" i="49"/>
  <c r="J54" i="49" s="1"/>
  <c r="J50" i="48"/>
  <c r="F54" i="43"/>
  <c r="J54" i="43" s="1"/>
  <c r="J20" i="58"/>
  <c r="N41" i="63" s="1"/>
  <c r="I20" i="58"/>
  <c r="M41" i="63" s="1"/>
  <c r="J50" i="43"/>
  <c r="F52" i="49"/>
  <c r="I52" i="49"/>
  <c r="AV49" i="49"/>
  <c r="AY53" i="49" s="1"/>
  <c r="J50" i="49"/>
  <c r="J50" i="38"/>
  <c r="F54" i="39"/>
  <c r="J54" i="39" s="1"/>
  <c r="F52" i="38"/>
  <c r="AV49" i="50"/>
  <c r="AY53" i="50" s="1"/>
  <c r="I52" i="50"/>
  <c r="I10" i="58"/>
  <c r="M31" i="63" s="1"/>
  <c r="J10" i="58"/>
  <c r="N31" i="63" s="1"/>
  <c r="F52" i="39"/>
  <c r="N30" i="62"/>
  <c r="I52" i="39"/>
  <c r="AV49" i="39"/>
  <c r="AY53" i="39" s="1"/>
  <c r="M30" i="62"/>
  <c r="J22" i="58"/>
  <c r="N43" i="63" s="1"/>
  <c r="I22" i="58"/>
  <c r="M43" i="63" s="1"/>
  <c r="J50" i="39"/>
  <c r="F54" i="38"/>
  <c r="J54" i="38" s="1"/>
  <c r="J11" i="58"/>
  <c r="N32" i="63" s="1"/>
  <c r="I11" i="58"/>
  <c r="M32" i="63" s="1"/>
  <c r="AV49" i="38"/>
  <c r="AY53" i="38" s="1"/>
  <c r="I52" i="38"/>
  <c r="J52" i="55"/>
  <c r="J50" i="17" l="1"/>
  <c r="J52" i="54"/>
  <c r="C63" i="54" s="1"/>
  <c r="L59" i="54" s="1"/>
  <c r="K63" i="54" s="1"/>
  <c r="J52" i="46"/>
  <c r="C63" i="46" s="1"/>
  <c r="J52" i="52"/>
  <c r="C63" i="52" s="1"/>
  <c r="C63" i="37"/>
  <c r="K54" i="37" s="1"/>
  <c r="C63" i="44"/>
  <c r="K54" i="44" s="1"/>
  <c r="J52" i="48"/>
  <c r="C63" i="48" s="1"/>
  <c r="K48" i="48" s="1"/>
  <c r="J8" i="58"/>
  <c r="N29" i="62" s="1"/>
  <c r="I52" i="17"/>
  <c r="J52" i="17" s="1"/>
  <c r="F54" i="17"/>
  <c r="J54" i="17" s="1"/>
  <c r="J52" i="49"/>
  <c r="C63" i="49" s="1"/>
  <c r="K54" i="49" s="1"/>
  <c r="J52" i="50"/>
  <c r="C63" i="50" s="1"/>
  <c r="K50" i="50" s="1"/>
  <c r="J52" i="41"/>
  <c r="C63" i="41" s="1"/>
  <c r="K52" i="41" s="1"/>
  <c r="J52" i="42"/>
  <c r="C63" i="42" s="1"/>
  <c r="K54" i="42" s="1"/>
  <c r="J52" i="45"/>
  <c r="C63" i="45" s="1"/>
  <c r="K58" i="40"/>
  <c r="L59" i="40"/>
  <c r="K63" i="40" s="1"/>
  <c r="K50" i="40"/>
  <c r="K54" i="40"/>
  <c r="K56" i="40"/>
  <c r="K48" i="40"/>
  <c r="K46" i="40"/>
  <c r="J52" i="43"/>
  <c r="C63" i="43" s="1"/>
  <c r="K52" i="43" s="1"/>
  <c r="K59" i="51"/>
  <c r="K54" i="47"/>
  <c r="K48" i="47"/>
  <c r="K58" i="47"/>
  <c r="L59" i="47"/>
  <c r="K63" i="47" s="1"/>
  <c r="K65" i="47" s="1"/>
  <c r="K50" i="47"/>
  <c r="K52" i="47"/>
  <c r="K46" i="47"/>
  <c r="K64" i="51"/>
  <c r="C64" i="51" s="1"/>
  <c r="AG127" i="51" s="1"/>
  <c r="C63" i="53"/>
  <c r="K52" i="53" s="1"/>
  <c r="M29" i="62"/>
  <c r="M29" i="63"/>
  <c r="J52" i="39"/>
  <c r="J52" i="38"/>
  <c r="C63" i="55"/>
  <c r="K52" i="55" s="1"/>
  <c r="K56" i="37" l="1"/>
  <c r="K58" i="37"/>
  <c r="K50" i="54"/>
  <c r="K56" i="54"/>
  <c r="K48" i="54"/>
  <c r="K58" i="54"/>
  <c r="K54" i="54"/>
  <c r="K52" i="54"/>
  <c r="K46" i="54"/>
  <c r="K46" i="46"/>
  <c r="K58" i="46"/>
  <c r="K50" i="46"/>
  <c r="K56" i="46"/>
  <c r="K48" i="46"/>
  <c r="K52" i="46"/>
  <c r="L59" i="46"/>
  <c r="K63" i="46" s="1"/>
  <c r="K65" i="46" s="1"/>
  <c r="K54" i="46"/>
  <c r="K50" i="37"/>
  <c r="K52" i="37"/>
  <c r="K46" i="37"/>
  <c r="K48" i="37"/>
  <c r="L59" i="52"/>
  <c r="K63" i="52" s="1"/>
  <c r="K65" i="52" s="1"/>
  <c r="K58" i="52"/>
  <c r="K56" i="52"/>
  <c r="K54" i="52"/>
  <c r="K52" i="52"/>
  <c r="K46" i="52"/>
  <c r="K48" i="52"/>
  <c r="K50" i="52"/>
  <c r="L59" i="37"/>
  <c r="K63" i="37" s="1"/>
  <c r="K65" i="37" s="1"/>
  <c r="K56" i="44"/>
  <c r="K58" i="44"/>
  <c r="L59" i="44"/>
  <c r="K63" i="44" s="1"/>
  <c r="K64" i="44" s="1"/>
  <c r="C64" i="44" s="1"/>
  <c r="K52" i="44"/>
  <c r="K50" i="44"/>
  <c r="K46" i="44"/>
  <c r="K48" i="44"/>
  <c r="N29" i="63"/>
  <c r="C63" i="17"/>
  <c r="K50" i="17" s="1"/>
  <c r="K58" i="45"/>
  <c r="L59" i="45"/>
  <c r="K63" i="45" s="1"/>
  <c r="K65" i="45" s="1"/>
  <c r="K52" i="42"/>
  <c r="L59" i="42"/>
  <c r="K63" i="42" s="1"/>
  <c r="K64" i="42" s="1"/>
  <c r="C64" i="42" s="1"/>
  <c r="K58" i="42"/>
  <c r="K50" i="45"/>
  <c r="K56" i="42"/>
  <c r="K46" i="42"/>
  <c r="K54" i="45"/>
  <c r="K50" i="42"/>
  <c r="K48" i="45"/>
  <c r="K48" i="42"/>
  <c r="K52" i="45"/>
  <c r="K65" i="40"/>
  <c r="K64" i="40"/>
  <c r="C64" i="40" s="1"/>
  <c r="K56" i="45"/>
  <c r="K46" i="45"/>
  <c r="K59" i="40"/>
  <c r="K54" i="41"/>
  <c r="K50" i="41"/>
  <c r="K58" i="41"/>
  <c r="L59" i="41"/>
  <c r="K63" i="41" s="1"/>
  <c r="K48" i="41"/>
  <c r="K46" i="41"/>
  <c r="K56" i="41"/>
  <c r="K54" i="43"/>
  <c r="K48" i="43"/>
  <c r="K59" i="47"/>
  <c r="AJ124" i="51"/>
  <c r="AJ127" i="51"/>
  <c r="AI127" i="51"/>
  <c r="AH124" i="51"/>
  <c r="AI124" i="51"/>
  <c r="AK127" i="51"/>
  <c r="AL127" i="51"/>
  <c r="AL124" i="51"/>
  <c r="AH127" i="51"/>
  <c r="AG124" i="51"/>
  <c r="L23" i="58"/>
  <c r="S44" i="63" s="1"/>
  <c r="AK124" i="51"/>
  <c r="K64" i="47"/>
  <c r="C64" i="47" s="1"/>
  <c r="AL127" i="47" s="1"/>
  <c r="K46" i="43"/>
  <c r="K56" i="43"/>
  <c r="L59" i="43"/>
  <c r="K63" i="43" s="1"/>
  <c r="K65" i="43" s="1"/>
  <c r="K58" i="43"/>
  <c r="K56" i="50"/>
  <c r="K48" i="50"/>
  <c r="K52" i="50"/>
  <c r="K46" i="50"/>
  <c r="K54" i="50"/>
  <c r="L59" i="50"/>
  <c r="K63" i="50" s="1"/>
  <c r="K64" i="50" s="1"/>
  <c r="C64" i="50" s="1"/>
  <c r="K58" i="50"/>
  <c r="K56" i="48"/>
  <c r="K52" i="48"/>
  <c r="K54" i="48"/>
  <c r="K58" i="48"/>
  <c r="K50" i="48"/>
  <c r="L59" i="48"/>
  <c r="K63" i="48" s="1"/>
  <c r="K65" i="48" s="1"/>
  <c r="K46" i="48"/>
  <c r="K50" i="43"/>
  <c r="K50" i="49"/>
  <c r="K52" i="49"/>
  <c r="K46" i="49"/>
  <c r="L59" i="49"/>
  <c r="K63" i="49" s="1"/>
  <c r="K58" i="49"/>
  <c r="K56" i="49"/>
  <c r="K48" i="49"/>
  <c r="L59" i="53"/>
  <c r="K63" i="53" s="1"/>
  <c r="K58" i="53"/>
  <c r="K48" i="53"/>
  <c r="K46" i="53"/>
  <c r="K56" i="53"/>
  <c r="K50" i="53"/>
  <c r="K54" i="53"/>
  <c r="L59" i="55"/>
  <c r="K63" i="55" s="1"/>
  <c r="K58" i="55"/>
  <c r="K46" i="55"/>
  <c r="K48" i="55"/>
  <c r="K56" i="55"/>
  <c r="K54" i="55"/>
  <c r="K50" i="55"/>
  <c r="C63" i="38"/>
  <c r="K52" i="38" s="1"/>
  <c r="C63" i="39"/>
  <c r="K52" i="39" s="1"/>
  <c r="K65" i="54"/>
  <c r="K64" i="54"/>
  <c r="C64" i="54" s="1"/>
  <c r="R23" i="58" l="1"/>
  <c r="K34" i="66"/>
  <c r="M34" i="66" s="1"/>
  <c r="K64" i="52"/>
  <c r="C64" i="52" s="1"/>
  <c r="AJ127" i="52" s="1"/>
  <c r="K59" i="54"/>
  <c r="K64" i="46"/>
  <c r="C64" i="46" s="1"/>
  <c r="AK127" i="46" s="1"/>
  <c r="K59" i="46"/>
  <c r="K64" i="37"/>
  <c r="C64" i="37" s="1"/>
  <c r="AG124" i="37" s="1"/>
  <c r="K59" i="37"/>
  <c r="K59" i="52"/>
  <c r="AL129" i="51"/>
  <c r="AK129" i="51" s="1"/>
  <c r="AJ129" i="51" s="1"/>
  <c r="AI129" i="51" s="1"/>
  <c r="AH129" i="51" s="1"/>
  <c r="AG129" i="51" s="1"/>
  <c r="N23" i="58" s="1"/>
  <c r="K65" i="44"/>
  <c r="K59" i="44"/>
  <c r="K48" i="17"/>
  <c r="K58" i="17"/>
  <c r="L59" i="17"/>
  <c r="K63" i="17" s="1"/>
  <c r="K65" i="17" s="1"/>
  <c r="K56" i="17"/>
  <c r="K46" i="17"/>
  <c r="K54" i="17"/>
  <c r="K52" i="17"/>
  <c r="K64" i="45"/>
  <c r="C64" i="45" s="1"/>
  <c r="AJ127" i="45" s="1"/>
  <c r="AI124" i="47"/>
  <c r="AL124" i="47"/>
  <c r="AL129" i="47" s="1"/>
  <c r="AK124" i="47"/>
  <c r="L19" i="58"/>
  <c r="S40" i="63" s="1"/>
  <c r="K65" i="42"/>
  <c r="AH127" i="47"/>
  <c r="AK127" i="47"/>
  <c r="AJ124" i="47"/>
  <c r="AI127" i="47"/>
  <c r="AJ127" i="47"/>
  <c r="K59" i="45"/>
  <c r="K59" i="42"/>
  <c r="AH124" i="47"/>
  <c r="AG127" i="47"/>
  <c r="AG124" i="47"/>
  <c r="K59" i="41"/>
  <c r="K65" i="41"/>
  <c r="K64" i="41"/>
  <c r="C64" i="41" s="1"/>
  <c r="AH127" i="40"/>
  <c r="AK127" i="40"/>
  <c r="AJ127" i="40"/>
  <c r="AL127" i="40"/>
  <c r="AJ124" i="40"/>
  <c r="AL124" i="40"/>
  <c r="AL129" i="40" s="1"/>
  <c r="AH124" i="40"/>
  <c r="AI127" i="40"/>
  <c r="AG127" i="40"/>
  <c r="L12" i="58"/>
  <c r="AI124" i="40"/>
  <c r="AG124" i="40"/>
  <c r="AK124" i="40"/>
  <c r="L14" i="58"/>
  <c r="AL124" i="42"/>
  <c r="AK127" i="42"/>
  <c r="AL127" i="42"/>
  <c r="AH124" i="42"/>
  <c r="AI127" i="42"/>
  <c r="AJ124" i="42"/>
  <c r="AH127" i="42"/>
  <c r="AG124" i="42"/>
  <c r="AK124" i="42"/>
  <c r="AJ127" i="42"/>
  <c r="AI124" i="42"/>
  <c r="AG127" i="42"/>
  <c r="K59" i="43"/>
  <c r="K59" i="48"/>
  <c r="K64" i="43"/>
  <c r="C64" i="43" s="1"/>
  <c r="AL124" i="43" s="1"/>
  <c r="K59" i="50"/>
  <c r="K65" i="50"/>
  <c r="K64" i="48"/>
  <c r="C64" i="48" s="1"/>
  <c r="AG124" i="48" s="1"/>
  <c r="K64" i="53"/>
  <c r="C64" i="53" s="1"/>
  <c r="K65" i="53"/>
  <c r="K64" i="49"/>
  <c r="C64" i="49" s="1"/>
  <c r="K65" i="49"/>
  <c r="K59" i="49"/>
  <c r="K59" i="53"/>
  <c r="K59" i="55"/>
  <c r="L59" i="38"/>
  <c r="K63" i="38" s="1"/>
  <c r="K58" i="38"/>
  <c r="K50" i="38"/>
  <c r="K48" i="38"/>
  <c r="K56" i="38"/>
  <c r="K46" i="38"/>
  <c r="K54" i="38"/>
  <c r="K64" i="55"/>
  <c r="C64" i="55" s="1"/>
  <c r="K65" i="55"/>
  <c r="AH127" i="54"/>
  <c r="AL124" i="54"/>
  <c r="AK127" i="54"/>
  <c r="AK124" i="54"/>
  <c r="AI127" i="54"/>
  <c r="AJ127" i="54"/>
  <c r="L26" i="58"/>
  <c r="S47" i="63" s="1"/>
  <c r="AI124" i="54"/>
  <c r="AJ124" i="54"/>
  <c r="AG124" i="54"/>
  <c r="AH124" i="54"/>
  <c r="AL127" i="54"/>
  <c r="AG127" i="54"/>
  <c r="L59" i="39"/>
  <c r="K63" i="39" s="1"/>
  <c r="K58" i="39"/>
  <c r="K48" i="39"/>
  <c r="K46" i="39"/>
  <c r="K56" i="39"/>
  <c r="K50" i="39"/>
  <c r="K54" i="39"/>
  <c r="L16" i="58"/>
  <c r="AH124" i="44"/>
  <c r="AH127" i="44"/>
  <c r="AJ124" i="44"/>
  <c r="AI124" i="44"/>
  <c r="AK124" i="44"/>
  <c r="AG127" i="44"/>
  <c r="AK127" i="44"/>
  <c r="AL124" i="44"/>
  <c r="AJ127" i="44"/>
  <c r="AG124" i="44"/>
  <c r="AL127" i="44"/>
  <c r="AI127" i="44"/>
  <c r="AK127" i="50"/>
  <c r="AL124" i="50"/>
  <c r="AJ124" i="50"/>
  <c r="L22" i="58"/>
  <c r="S43" i="63" s="1"/>
  <c r="AG127" i="50"/>
  <c r="AI127" i="50"/>
  <c r="AG124" i="50"/>
  <c r="AL127" i="50"/>
  <c r="AH124" i="50"/>
  <c r="AJ127" i="50"/>
  <c r="AK124" i="50"/>
  <c r="AH127" i="50"/>
  <c r="AI124" i="50"/>
  <c r="K23" i="66" l="1"/>
  <c r="M23" i="66" s="1"/>
  <c r="S33" i="63"/>
  <c r="K27" i="66"/>
  <c r="M27" i="66" s="1"/>
  <c r="S37" i="63"/>
  <c r="K25" i="66"/>
  <c r="M25" i="66" s="1"/>
  <c r="S35" i="63"/>
  <c r="R22" i="58"/>
  <c r="K33" i="66"/>
  <c r="M33" i="66" s="1"/>
  <c r="R19" i="58"/>
  <c r="K30" i="66"/>
  <c r="M30" i="66" s="1"/>
  <c r="R26" i="58"/>
  <c r="K37" i="66"/>
  <c r="M37" i="66" s="1"/>
  <c r="R16" i="58"/>
  <c r="R14" i="58"/>
  <c r="R12" i="58"/>
  <c r="AG124" i="52"/>
  <c r="AI124" i="52"/>
  <c r="L24" i="58"/>
  <c r="AI127" i="52"/>
  <c r="AK124" i="46"/>
  <c r="AG124" i="46"/>
  <c r="AL124" i="46"/>
  <c r="AL124" i="52"/>
  <c r="AH127" i="52"/>
  <c r="AH127" i="46"/>
  <c r="AJ124" i="52"/>
  <c r="AK124" i="52"/>
  <c r="AG127" i="46"/>
  <c r="AG127" i="52"/>
  <c r="AI127" i="46"/>
  <c r="AH124" i="46"/>
  <c r="AI124" i="46"/>
  <c r="AL127" i="52"/>
  <c r="AH124" i="52"/>
  <c r="AK127" i="52"/>
  <c r="AJ124" i="46"/>
  <c r="L18" i="58"/>
  <c r="S39" i="63" s="1"/>
  <c r="AL127" i="46"/>
  <c r="AK124" i="37"/>
  <c r="AL127" i="37"/>
  <c r="AH127" i="37"/>
  <c r="AI124" i="37"/>
  <c r="AJ127" i="37"/>
  <c r="AG127" i="37"/>
  <c r="AH124" i="37"/>
  <c r="AL124" i="37"/>
  <c r="AJ124" i="37"/>
  <c r="AI127" i="37"/>
  <c r="AK127" i="37"/>
  <c r="L9" i="58"/>
  <c r="AJ127" i="46"/>
  <c r="AL129" i="50"/>
  <c r="AK129" i="50" s="1"/>
  <c r="AJ129" i="50" s="1"/>
  <c r="AI129" i="50" s="1"/>
  <c r="AH129" i="50" s="1"/>
  <c r="AG129" i="50" s="1"/>
  <c r="N22" i="58" s="1"/>
  <c r="K64" i="17"/>
  <c r="C64" i="17" s="1"/>
  <c r="K59" i="17"/>
  <c r="AK127" i="45"/>
  <c r="AK124" i="45"/>
  <c r="AI124" i="45"/>
  <c r="AL124" i="45"/>
  <c r="AG124" i="45"/>
  <c r="AH127" i="45"/>
  <c r="AJ124" i="45"/>
  <c r="AI127" i="45"/>
  <c r="L17" i="58"/>
  <c r="S38" i="63" s="1"/>
  <c r="AL127" i="45"/>
  <c r="AG127" i="45"/>
  <c r="AK129" i="47"/>
  <c r="AJ129" i="47" s="1"/>
  <c r="AI129" i="47" s="1"/>
  <c r="AH129" i="47" s="1"/>
  <c r="AG129" i="47" s="1"/>
  <c r="N19" i="58" s="1"/>
  <c r="AH124" i="45"/>
  <c r="AL129" i="42"/>
  <c r="AK129" i="42" s="1"/>
  <c r="AJ129" i="42" s="1"/>
  <c r="AI129" i="42" s="1"/>
  <c r="AH129" i="42" s="1"/>
  <c r="AG129" i="42" s="1"/>
  <c r="N14" i="58" s="1"/>
  <c r="AK129" i="40"/>
  <c r="AJ129" i="40" s="1"/>
  <c r="AI129" i="40" s="1"/>
  <c r="AH129" i="40" s="1"/>
  <c r="AG129" i="40" s="1"/>
  <c r="N12" i="58" s="1"/>
  <c r="AG124" i="43"/>
  <c r="AH127" i="41"/>
  <c r="AL124" i="41"/>
  <c r="AI124" i="41"/>
  <c r="AL127" i="41"/>
  <c r="AI127" i="41"/>
  <c r="AK124" i="41"/>
  <c r="L13" i="58"/>
  <c r="AK127" i="41"/>
  <c r="AG127" i="41"/>
  <c r="AG124" i="41"/>
  <c r="AJ124" i="41"/>
  <c r="AJ127" i="41"/>
  <c r="AH124" i="41"/>
  <c r="AJ124" i="43"/>
  <c r="AL124" i="48"/>
  <c r="AH124" i="48"/>
  <c r="AK127" i="48"/>
  <c r="AJ127" i="48"/>
  <c r="AG127" i="48"/>
  <c r="AJ124" i="48"/>
  <c r="AL127" i="48"/>
  <c r="L20" i="58"/>
  <c r="AI124" i="48"/>
  <c r="AI127" i="48"/>
  <c r="AH127" i="48"/>
  <c r="AK124" i="48"/>
  <c r="AI127" i="43"/>
  <c r="AL127" i="43"/>
  <c r="AL129" i="43" s="1"/>
  <c r="AH124" i="43"/>
  <c r="AK127" i="43"/>
  <c r="AH127" i="43"/>
  <c r="L15" i="58"/>
  <c r="AJ127" i="43"/>
  <c r="AI124" i="43"/>
  <c r="AK124" i="43"/>
  <c r="AG127" i="43"/>
  <c r="AL129" i="44"/>
  <c r="AK129" i="44" s="1"/>
  <c r="AJ129" i="44" s="1"/>
  <c r="AI129" i="44" s="1"/>
  <c r="AH129" i="44" s="1"/>
  <c r="AG129" i="44" s="1"/>
  <c r="N16" i="58" s="1"/>
  <c r="AK124" i="49"/>
  <c r="AI127" i="49"/>
  <c r="L21" i="58"/>
  <c r="S42" i="63" s="1"/>
  <c r="AG127" i="49"/>
  <c r="AL127" i="49"/>
  <c r="AH124" i="49"/>
  <c r="AJ124" i="49"/>
  <c r="AJ127" i="49"/>
  <c r="AG124" i="49"/>
  <c r="AI124" i="49"/>
  <c r="AK127" i="49"/>
  <c r="AH127" i="49"/>
  <c r="AL124" i="49"/>
  <c r="AI127" i="53"/>
  <c r="L25" i="58"/>
  <c r="AJ124" i="53"/>
  <c r="AH124" i="53"/>
  <c r="AL127" i="53"/>
  <c r="AG124" i="53"/>
  <c r="AK124" i="53"/>
  <c r="AH127" i="53"/>
  <c r="AL124" i="53"/>
  <c r="AJ127" i="53"/>
  <c r="AK127" i="53"/>
  <c r="AI124" i="53"/>
  <c r="AG127" i="53"/>
  <c r="L27" i="58"/>
  <c r="S48" i="63" s="1"/>
  <c r="AI124" i="55"/>
  <c r="AK124" i="55"/>
  <c r="AL127" i="55"/>
  <c r="AJ124" i="55"/>
  <c r="AG127" i="55"/>
  <c r="AH124" i="55"/>
  <c r="AH127" i="55"/>
  <c r="AL124" i="55"/>
  <c r="AI127" i="55"/>
  <c r="AJ127" i="55"/>
  <c r="AK127" i="55"/>
  <c r="AG124" i="55"/>
  <c r="AL129" i="54"/>
  <c r="AK129" i="54" s="1"/>
  <c r="AJ129" i="54" s="1"/>
  <c r="AI129" i="54" s="1"/>
  <c r="AH129" i="54" s="1"/>
  <c r="AG129" i="54" s="1"/>
  <c r="N26" i="58" s="1"/>
  <c r="K65" i="38"/>
  <c r="K64" i="38"/>
  <c r="C64" i="38" s="1"/>
  <c r="K59" i="39"/>
  <c r="K64" i="39"/>
  <c r="C64" i="39" s="1"/>
  <c r="K65" i="39"/>
  <c r="K59" i="38"/>
  <c r="K31" i="66" l="1"/>
  <c r="M31" i="66" s="1"/>
  <c r="S41" i="63"/>
  <c r="K35" i="66"/>
  <c r="M35" i="66" s="1"/>
  <c r="S45" i="63"/>
  <c r="K26" i="66"/>
  <c r="M26" i="66" s="1"/>
  <c r="S36" i="63"/>
  <c r="K24" i="66"/>
  <c r="M24" i="66" s="1"/>
  <c r="S34" i="63"/>
  <c r="K36" i="66"/>
  <c r="M36" i="66" s="1"/>
  <c r="S46" i="63"/>
  <c r="K20" i="66"/>
  <c r="M20" i="66" s="1"/>
  <c r="S30" i="63"/>
  <c r="AL129" i="46"/>
  <c r="R17" i="58"/>
  <c r="K28" i="66"/>
  <c r="M28" i="66" s="1"/>
  <c r="R27" i="58"/>
  <c r="K38" i="66"/>
  <c r="M38" i="66" s="1"/>
  <c r="R21" i="58"/>
  <c r="K32" i="66"/>
  <c r="M32" i="66" s="1"/>
  <c r="R18" i="58"/>
  <c r="K29" i="66"/>
  <c r="M29" i="66" s="1"/>
  <c r="AI124" i="17"/>
  <c r="L8" i="58"/>
  <c r="K19" i="66" s="1"/>
  <c r="M19" i="66" s="1"/>
  <c r="R25" i="58"/>
  <c r="R24" i="58"/>
  <c r="R20" i="58"/>
  <c r="R15" i="58"/>
  <c r="R13" i="58"/>
  <c r="R9" i="58"/>
  <c r="AK129" i="46"/>
  <c r="AJ129" i="46" s="1"/>
  <c r="AI129" i="46" s="1"/>
  <c r="AH129" i="46" s="1"/>
  <c r="AG129" i="46" s="1"/>
  <c r="N18" i="58" s="1"/>
  <c r="AL129" i="52"/>
  <c r="AK129" i="52" s="1"/>
  <c r="AJ129" i="52" s="1"/>
  <c r="AI129" i="52" s="1"/>
  <c r="AH129" i="52" s="1"/>
  <c r="AG129" i="52" s="1"/>
  <c r="N24" i="58" s="1"/>
  <c r="AL129" i="37"/>
  <c r="AK129" i="37" s="1"/>
  <c r="AJ129" i="37" s="1"/>
  <c r="AI129" i="37" s="1"/>
  <c r="AH129" i="37" s="1"/>
  <c r="AG129" i="37" s="1"/>
  <c r="N9" i="58" s="1"/>
  <c r="S30" i="62"/>
  <c r="AL129" i="49"/>
  <c r="AK129" i="49" s="1"/>
  <c r="AJ129" i="49" s="1"/>
  <c r="AI129" i="49" s="1"/>
  <c r="AH129" i="49" s="1"/>
  <c r="AG129" i="49" s="1"/>
  <c r="N21" i="58" s="1"/>
  <c r="AL129" i="48"/>
  <c r="AK129" i="48" s="1"/>
  <c r="AJ129" i="48" s="1"/>
  <c r="AI129" i="48" s="1"/>
  <c r="AH129" i="48" s="1"/>
  <c r="AG129" i="48" s="1"/>
  <c r="N20" i="58" s="1"/>
  <c r="AK124" i="17"/>
  <c r="AG127" i="17"/>
  <c r="AH124" i="17"/>
  <c r="AK127" i="17"/>
  <c r="AH127" i="17"/>
  <c r="AL127" i="17"/>
  <c r="AG124" i="17"/>
  <c r="AJ127" i="17"/>
  <c r="AJ124" i="17"/>
  <c r="AI127" i="17"/>
  <c r="AL124" i="17"/>
  <c r="AL129" i="45"/>
  <c r="AK129" i="45" s="1"/>
  <c r="AJ129" i="45" s="1"/>
  <c r="AI129" i="45" s="1"/>
  <c r="AH129" i="45" s="1"/>
  <c r="AG129" i="45" s="1"/>
  <c r="N17" i="58" s="1"/>
  <c r="AK129" i="43"/>
  <c r="AJ129" i="43" s="1"/>
  <c r="AI129" i="43" s="1"/>
  <c r="AH129" i="43" s="1"/>
  <c r="AG129" i="43" s="1"/>
  <c r="N15" i="58" s="1"/>
  <c r="AL129" i="41"/>
  <c r="AK129" i="41" s="1"/>
  <c r="AJ129" i="41" s="1"/>
  <c r="AI129" i="41" s="1"/>
  <c r="AH129" i="41" s="1"/>
  <c r="AG129" i="41" s="1"/>
  <c r="N13" i="58" s="1"/>
  <c r="AL129" i="53"/>
  <c r="AK129" i="53" s="1"/>
  <c r="AJ129" i="53" s="1"/>
  <c r="AI129" i="53" s="1"/>
  <c r="AH129" i="53" s="1"/>
  <c r="AG129" i="53" s="1"/>
  <c r="N25" i="58" s="1"/>
  <c r="AH124" i="39"/>
  <c r="AI124" i="39"/>
  <c r="AH127" i="39"/>
  <c r="AJ127" i="39"/>
  <c r="AJ124" i="39"/>
  <c r="L11" i="58"/>
  <c r="AI127" i="39"/>
  <c r="AG127" i="39"/>
  <c r="AG124" i="39"/>
  <c r="AK124" i="39"/>
  <c r="AL127" i="39"/>
  <c r="AK127" i="39"/>
  <c r="AL124" i="39"/>
  <c r="AL129" i="39" s="1"/>
  <c r="AL129" i="55"/>
  <c r="AK129" i="55" s="1"/>
  <c r="AJ129" i="55" s="1"/>
  <c r="AI129" i="55" s="1"/>
  <c r="AH129" i="55" s="1"/>
  <c r="AG129" i="55" s="1"/>
  <c r="N27" i="58" s="1"/>
  <c r="L10" i="58"/>
  <c r="AK124" i="38"/>
  <c r="AI124" i="38"/>
  <c r="AK127" i="38"/>
  <c r="AL124" i="38"/>
  <c r="AL127" i="38"/>
  <c r="AG124" i="38"/>
  <c r="AH124" i="38"/>
  <c r="AJ124" i="38"/>
  <c r="AG127" i="38"/>
  <c r="AH127" i="38"/>
  <c r="AJ127" i="38"/>
  <c r="AI127" i="38"/>
  <c r="K22" i="66" l="1"/>
  <c r="M22" i="66" s="1"/>
  <c r="S32" i="63"/>
  <c r="K21" i="66"/>
  <c r="M21" i="66" s="1"/>
  <c r="S31" i="63"/>
  <c r="R11" i="58"/>
  <c r="R10" i="58"/>
  <c r="R8" i="58"/>
  <c r="AL129" i="17"/>
  <c r="AK129" i="17" s="1"/>
  <c r="AJ129" i="17" s="1"/>
  <c r="AI129" i="17" s="1"/>
  <c r="AH129" i="17" s="1"/>
  <c r="AG129" i="17" s="1"/>
  <c r="N8" i="58" s="1"/>
  <c r="S29" i="63"/>
  <c r="AK129" i="39"/>
  <c r="AJ129" i="39" s="1"/>
  <c r="AI129" i="39" s="1"/>
  <c r="AH129" i="39" s="1"/>
  <c r="AG129" i="39" s="1"/>
  <c r="N11" i="58" s="1"/>
  <c r="AL129" i="38"/>
  <c r="AK129" i="38" s="1"/>
  <c r="AJ129" i="38" s="1"/>
  <c r="AI129" i="38" s="1"/>
  <c r="AH129" i="38" s="1"/>
  <c r="AG129" i="38" s="1"/>
  <c r="N10" i="5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<sst xmlns="http://schemas.openxmlformats.org/spreadsheetml/2006/main" count="27950" uniqueCount="1473">
  <si>
    <t>Nombre</t>
  </si>
  <si>
    <t>Código</t>
  </si>
  <si>
    <t>Modelo</t>
  </si>
  <si>
    <t>Sí</t>
  </si>
  <si>
    <t>No</t>
  </si>
  <si>
    <t>No aplica</t>
  </si>
  <si>
    <t>Error</t>
  </si>
  <si>
    <t>°C</t>
  </si>
  <si>
    <t>NI-MCPPT-01</t>
  </si>
  <si>
    <t>NI-MCPPT-02</t>
  </si>
  <si>
    <t>Marca</t>
  </si>
  <si>
    <t>NI-MCPPT-04</t>
  </si>
  <si>
    <t xml:space="preserve">Fluke 971 </t>
  </si>
  <si>
    <t xml:space="preserve">Testo 608-H1 </t>
  </si>
  <si>
    <t>Fabricante</t>
  </si>
  <si>
    <t>Certificado</t>
  </si>
  <si>
    <t>Clase</t>
  </si>
  <si>
    <t>Fecha Calibración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</si>
  <si>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</si>
  <si>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Valor nominal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</si>
  <si>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</si>
  <si>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Exactitud ± % HR</t>
  </si>
  <si>
    <t>Fecha revisión deriva</t>
  </si>
  <si>
    <t>#</t>
  </si>
  <si>
    <t>Código Patrón</t>
  </si>
  <si>
    <t>Cobos</t>
  </si>
  <si>
    <t>F1</t>
  </si>
  <si>
    <t>Zwiebel</t>
  </si>
  <si>
    <t>N/A</t>
  </si>
  <si>
    <t>M1</t>
  </si>
  <si>
    <t>M2</t>
  </si>
  <si>
    <t>F2</t>
  </si>
  <si>
    <t>g</t>
  </si>
  <si>
    <t>E1</t>
  </si>
  <si>
    <t>E2</t>
  </si>
  <si>
    <t>M3</t>
  </si>
  <si>
    <t>Material</t>
  </si>
  <si>
    <t>Fecha calibración (certificado calibración)</t>
  </si>
  <si>
    <t>acero inoxidable</t>
  </si>
  <si>
    <t>Exactitud ±% HR</t>
  </si>
  <si>
    <t>Valor</t>
  </si>
  <si>
    <t>Unidad</t>
  </si>
  <si>
    <t>%</t>
  </si>
  <si>
    <t>k</t>
  </si>
  <si>
    <t>Resolución RH %</t>
  </si>
  <si>
    <t>NI-MCPM-JM-03 (1g ZA57A)</t>
  </si>
  <si>
    <t>NI-MCPM-JM-02 (2g)</t>
  </si>
  <si>
    <t>NI-MCPM-JM-03 (2g ZZ47L)</t>
  </si>
  <si>
    <t>NI-MCPM-JM-03 (2g ZZ84J)</t>
  </si>
  <si>
    <t>NI-MCPM-JM-02 (5g)</t>
  </si>
  <si>
    <t>NI-MCPM-JM-03 (5g ZZ32G)</t>
  </si>
  <si>
    <t>NI-MCPM-JM-02 (10g)</t>
  </si>
  <si>
    <t>NI-MCPM-JM-03 (10g ZZ64K)</t>
  </si>
  <si>
    <t>NI-MCPM-JM-02 (20g)</t>
  </si>
  <si>
    <t>NI-MCPM-JM-03 (20g ZZ52L)</t>
  </si>
  <si>
    <t>NI-MCPM-JM-03 (20g ZZ53L)</t>
  </si>
  <si>
    <t>NI-MCPM-JM-02 (50g)</t>
  </si>
  <si>
    <t>NI-MCPM-JM-03 (50g ZZ83J)</t>
  </si>
  <si>
    <t>NI-MCPM-JM-03 (100g ZZ51L)</t>
  </si>
  <si>
    <t>NI-MCPM-JM-02 (200g)</t>
  </si>
  <si>
    <t>NI-MCPM-JM-03 (200g ZZ18M)</t>
  </si>
  <si>
    <t>NI-MCPM-JM-03 (200g ZZ19M)</t>
  </si>
  <si>
    <t>NI-MCPM-JM-02 (500g)</t>
  </si>
  <si>
    <t>NI-MCPM-JM-03 (500g ZZ60E)</t>
  </si>
  <si>
    <t>NI-MCPM-1-01 (1 000g)</t>
  </si>
  <si>
    <t>NI-MCPM-JM-02 (1 000g)</t>
  </si>
  <si>
    <t>NI-MCPM-JM-03 (1 000g ZZ69G)</t>
  </si>
  <si>
    <t>NI-MCPM-2-01 (2 000g)</t>
  </si>
  <si>
    <t>NI-MCPM-JM-02 (2 000g)</t>
  </si>
  <si>
    <t>NI-MCPM-JM-03 (2 000g ZZ94E)</t>
  </si>
  <si>
    <t>NI-MCPM-JM-03 (2 000g ZZ97E)</t>
  </si>
  <si>
    <t>NI-MCPM-5-01 (5 000g)</t>
  </si>
  <si>
    <t>NI-MCPM-JM-02 (5 000g)</t>
  </si>
  <si>
    <t>NI-MCPM-JM-03 (5 000g ZZ19C)</t>
  </si>
  <si>
    <t>NI-MCPM-10-02 (10kg)</t>
  </si>
  <si>
    <t>NI-MCPM-20-01 (20kg)</t>
  </si>
  <si>
    <t>NI-MCPM-JM-02 (20mg)</t>
  </si>
  <si>
    <t>NI-MCPM-JM-02 (50mg)</t>
  </si>
  <si>
    <t>NI-MCPM-JM-02 (100mg)</t>
  </si>
  <si>
    <t>NI-MCPM-JM-02 (200mg)</t>
  </si>
  <si>
    <t>NI-MCPM-JM-02 (500mg)</t>
  </si>
  <si>
    <t>Troemner</t>
  </si>
  <si>
    <t>Laboratorio/Certificado</t>
  </si>
  <si>
    <t>mpe</t>
  </si>
  <si>
    <t>Variable</t>
  </si>
  <si>
    <t>¥</t>
  </si>
  <si>
    <t>Formato condicional</t>
  </si>
  <si>
    <t>NI-MCPM-JM-02 (20"g)</t>
  </si>
  <si>
    <t>NI-MCPM-JM-02 (200"g)</t>
  </si>
  <si>
    <t>NI-MCPM-JM-02 (2 000"g)</t>
  </si>
  <si>
    <t xml:space="preserve">Balanza </t>
  </si>
  <si>
    <t>NI-MCBAL-02</t>
  </si>
  <si>
    <t>OR(ISERROR(MATCH(G22,Calibración!$G$11:$G$20,0)),H22&lt;C24)=FALSE</t>
  </si>
  <si>
    <t>OR(ISERROR(MATCH(G22,Calibración!$G$11:$G$20,0)),I22&lt;C30)=FALSE</t>
  </si>
  <si>
    <t>Cilíndrica</t>
  </si>
  <si>
    <t>Superficie</t>
  </si>
  <si>
    <t>Lisa</t>
  </si>
  <si>
    <t>Forma muestra</t>
  </si>
  <si>
    <t>Lámina cuadrada</t>
  </si>
  <si>
    <t>Pentagonal</t>
  </si>
  <si>
    <t>Rugosa</t>
  </si>
  <si>
    <t>Áspera</t>
  </si>
  <si>
    <t>Con cavidad de ajuste</t>
  </si>
  <si>
    <t>Sin cavidad de ajuste</t>
  </si>
  <si>
    <t>NI-MCBAL-01</t>
  </si>
  <si>
    <t>Balanza analítica</t>
  </si>
  <si>
    <t xml:space="preserve">Precisa Gravimetrics ES Swiss Made </t>
  </si>
  <si>
    <t>Fecha calibración</t>
  </si>
  <si>
    <t>520A</t>
  </si>
  <si>
    <t>Escala máx. [g]</t>
  </si>
  <si>
    <t xml:space="preserve">Cobos Precision, S. L. </t>
  </si>
  <si>
    <t>D-33 CBK</t>
  </si>
  <si>
    <t>Paralelepipedo</t>
  </si>
  <si>
    <t>Higrotermómetros</t>
  </si>
  <si>
    <t>Datos del Mensurando (M)</t>
  </si>
  <si>
    <t>Marca:</t>
  </si>
  <si>
    <t>Serie:</t>
  </si>
  <si>
    <t>Tipo:</t>
  </si>
  <si>
    <t>Valor Nominal:</t>
  </si>
  <si>
    <t>mg</t>
  </si>
  <si>
    <t>±</t>
  </si>
  <si>
    <t>Datos del Patrón (P)</t>
  </si>
  <si>
    <t>*</t>
  </si>
  <si>
    <t>Datos del Comparador</t>
  </si>
  <si>
    <t>Equipo Utilizado:</t>
  </si>
  <si>
    <t>Termómetro Utilizado:</t>
  </si>
  <si>
    <t>Higrómetro Utilizado:</t>
  </si>
  <si>
    <t>Barómetro Utilizado:</t>
  </si>
  <si>
    <t>(patrón)</t>
  </si>
  <si>
    <t>(Mensurando)</t>
  </si>
  <si>
    <t>M.N. mensurando - M.N.  patrón =</t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</si>
  <si>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</si>
  <si>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</si>
  <si>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</si>
  <si>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</si>
  <si>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</si>
  <si>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</si>
  <si>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</si>
  <si>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</si>
  <si>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</si>
  <si>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</si>
  <si>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</si>
  <si>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</si>
  <si>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</si>
  <si>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</si>
  <si>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</si>
  <si>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</si>
  <si>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</si>
  <si>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</si>
  <si>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</si>
  <si>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</si>
  <si>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t>Patrón utilizado:</t>
  </si>
  <si>
    <t>S</t>
  </si>
  <si>
    <t>U por deriva</t>
  </si>
  <si>
    <t>volumen</t>
  </si>
  <si>
    <t>incertidumbre por volumen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</si>
  <si>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</si>
  <si>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</si>
  <si>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</si>
  <si>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</si>
  <si>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>L</t>
    </r>
    <r>
      <rPr>
        <b/>
        <sz val="8"/>
        <rFont val="Arial"/>
        <family val="2"/>
      </rPr>
      <t>1</t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</si>
  <si>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</si>
  <si>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</si>
  <si>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</si>
  <si>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D</t>
    </r>
    <r>
      <rPr>
        <b/>
        <sz val="10"/>
        <rFont val="Arial"/>
        <family val="2"/>
      </rPr>
      <t>L</t>
    </r>
  </si>
  <si>
    <t>P</t>
  </si>
  <si>
    <t>M</t>
  </si>
  <si>
    <t>Promedio: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</si>
  <si>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</si>
  <si>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</si>
  <si>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 xml:space="preserve">Desviación estandar 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</si>
  <si>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</si>
  <si>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Datos del Termómetro</t>
  </si>
  <si>
    <t>Fila correspondiente</t>
  </si>
  <si>
    <t>Temperatura</t>
  </si>
  <si>
    <t xml:space="preserve">Error </t>
  </si>
  <si>
    <t>incertidumbre</t>
  </si>
  <si>
    <t>Incertidumbre</t>
  </si>
  <si>
    <t>condiciones ambientales corregidas</t>
  </si>
  <si>
    <t>inicial</t>
  </si>
  <si>
    <t>final</t>
  </si>
  <si>
    <t>Humedad Vaisala</t>
  </si>
  <si>
    <t>humedad</t>
  </si>
  <si>
    <t>Humedad</t>
  </si>
  <si>
    <t>presión</t>
  </si>
  <si>
    <t>Presión</t>
  </si>
  <si>
    <t>termometro</t>
  </si>
  <si>
    <t xml:space="preserve">Humedad </t>
  </si>
  <si>
    <t xml:space="preserve">Presión </t>
  </si>
  <si>
    <t xml:space="preserve">Datos del Higrómetro </t>
  </si>
  <si>
    <t>Tabla 8  Densidad de pesas a ser calibradas</t>
  </si>
  <si>
    <t>Material o Aleación</t>
  </si>
  <si>
    <r>
      <t xml:space="preserve">Densidad </t>
    </r>
    <r>
      <rPr>
        <i/>
        <sz val="9"/>
        <rFont val="Times New Roman"/>
        <family val="1"/>
      </rPr>
      <t>@ 20 °C</t>
    </r>
  </si>
  <si>
    <t>Incertidumbre (k=2)</t>
  </si>
  <si>
    <t xml:space="preserve"> </t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</si>
  <si>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</si>
  <si>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r>
      <t xml:space="preserve">Platino / </t>
    </r>
    <r>
      <rPr>
        <i/>
        <sz val="9"/>
        <rFont val="Times New Roman"/>
        <family val="1"/>
      </rPr>
      <t>Platinum</t>
    </r>
  </si>
  <si>
    <t>Platino</t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</si>
  <si>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</si>
  <si>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t>Aleación de Níquel</t>
  </si>
  <si>
    <r>
      <t xml:space="preserve">Bronce / </t>
    </r>
    <r>
      <rPr>
        <i/>
        <sz val="9"/>
        <rFont val="Times New Roman"/>
        <family val="1"/>
      </rPr>
      <t>Brass</t>
    </r>
  </si>
  <si>
    <t>Bronce</t>
  </si>
  <si>
    <r>
      <t xml:space="preserve">Acero Inoxidable / </t>
    </r>
    <r>
      <rPr>
        <i/>
        <sz val="9"/>
        <rFont val="Times New Roman"/>
        <family val="1"/>
      </rPr>
      <t>Stainless steel</t>
    </r>
  </si>
  <si>
    <t>Acero Inoxidable</t>
  </si>
  <si>
    <r>
      <t xml:space="preserve">Acero al Carbón / </t>
    </r>
    <r>
      <rPr>
        <i/>
        <sz val="9"/>
        <rFont val="Times New Roman"/>
        <family val="1"/>
      </rPr>
      <t>Carbon steel</t>
    </r>
  </si>
  <si>
    <t>Acero Carbón</t>
  </si>
  <si>
    <r>
      <t xml:space="preserve">Hierro / </t>
    </r>
    <r>
      <rPr>
        <i/>
        <sz val="9"/>
        <rFont val="Times New Roman"/>
        <family val="1"/>
      </rPr>
      <t>Iron</t>
    </r>
  </si>
  <si>
    <t>Hierro</t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</si>
  <si>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</si>
  <si>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t>Hierro fund. (blanco)</t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</si>
  <si>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</si>
  <si>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t>Hierro fundido (gris)</t>
  </si>
  <si>
    <r>
      <t xml:space="preserve">Aluminio / </t>
    </r>
    <r>
      <rPr>
        <i/>
        <sz val="9"/>
        <rFont val="Times New Roman"/>
        <family val="1"/>
      </rPr>
      <t>Aluminum</t>
    </r>
  </si>
  <si>
    <t>Aluminio</t>
  </si>
  <si>
    <r>
      <t xml:space="preserve">Plomo / </t>
    </r>
    <r>
      <rPr>
        <i/>
        <sz val="10"/>
        <rFont val="Times New Roman"/>
        <family val="1"/>
      </rPr>
      <t>lead</t>
    </r>
  </si>
  <si>
    <t>Plomo</t>
  </si>
  <si>
    <t>PARAMETROS AMBIENTALES</t>
  </si>
  <si>
    <t>P (Pa)</t>
  </si>
  <si>
    <r>
      <t>T (</t>
    </r>
    <r>
      <rPr>
        <sz val="11"/>
        <color theme="1"/>
        <rFont val="Calibri"/>
        <family val="2"/>
      </rPr>
      <t>°C)</t>
    </r>
  </si>
  <si>
    <t>HR (%)</t>
  </si>
  <si>
    <t>Inicio</t>
  </si>
  <si>
    <t>Final</t>
  </si>
  <si>
    <t>Promedio</t>
  </si>
  <si>
    <t>Datos:</t>
  </si>
  <si>
    <t>Unidades:</t>
  </si>
  <si>
    <t>t=</t>
  </si>
  <si>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</t>
    </r>
  </si>
  <si>
    <t>α=</t>
  </si>
  <si>
    <t>A=</t>
  </si>
  <si>
    <t>K¯²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</si>
  <si>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</si>
  <si>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β=</t>
  </si>
  <si>
    <r>
      <t>Pa</t>
    </r>
    <r>
      <rPr>
        <sz val="11"/>
        <color theme="1"/>
        <rFont val="Calibri"/>
        <family val="2"/>
      </rPr>
      <t>¯¹</t>
    </r>
  </si>
  <si>
    <t>B=</t>
  </si>
  <si>
    <r>
      <t>K</t>
    </r>
    <r>
      <rPr>
        <sz val="11"/>
        <color theme="1"/>
        <rFont val="Calibri"/>
        <family val="2"/>
      </rPr>
      <t>¯¹</t>
    </r>
  </si>
  <si>
    <t>P=</t>
  </si>
  <si>
    <t>Pa</t>
  </si>
  <si>
    <t>γ=</t>
  </si>
  <si>
    <r>
      <t>K</t>
    </r>
    <r>
      <rPr>
        <sz val="11"/>
        <color theme="1"/>
        <rFont val="Calibri"/>
        <family val="2"/>
      </rPr>
      <t>¯²</t>
    </r>
  </si>
  <si>
    <t>C=</t>
  </si>
  <si>
    <r>
      <rPr>
        <sz val="11"/>
        <color theme="1"/>
        <rFont val="Calibri"/>
        <family val="2"/>
      </rPr>
      <t>P²</t>
    </r>
    <r>
      <rPr>
        <sz val="11"/>
        <color theme="1"/>
        <rFont val="Calibri"/>
        <family val="2"/>
        <scheme val="minor"/>
      </rPr>
      <t>=</t>
    </r>
  </si>
  <si>
    <t>t²=</t>
  </si>
  <si>
    <t>D=</t>
  </si>
  <si>
    <t>K</t>
  </si>
  <si>
    <t>T=</t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</si>
  <si>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scheme val="minor"/>
      </rPr>
      <t>=</t>
    </r>
  </si>
  <si>
    <t>f=</t>
  </si>
  <si>
    <r>
      <t>a</t>
    </r>
    <r>
      <rPr>
        <sz val="11"/>
        <color theme="1"/>
        <rFont val="Calibri"/>
        <family val="2"/>
      </rPr>
      <t>₀=</t>
    </r>
  </si>
  <si>
    <r>
      <t>KPa</t>
    </r>
    <r>
      <rPr>
        <sz val="11"/>
        <color theme="1"/>
        <rFont val="Calibri"/>
        <family val="2"/>
      </rPr>
      <t>¯¹</t>
    </r>
  </si>
  <si>
    <t>Psv=</t>
  </si>
  <si>
    <r>
      <t>a</t>
    </r>
    <r>
      <rPr>
        <sz val="11"/>
        <color theme="1"/>
        <rFont val="Calibri"/>
        <family val="2"/>
      </rPr>
      <t>₁=</t>
    </r>
  </si>
  <si>
    <t>Pa¯¹</t>
  </si>
  <si>
    <r>
      <t>a</t>
    </r>
    <r>
      <rPr>
        <sz val="11"/>
        <color theme="1"/>
        <rFont val="Calibri"/>
        <family val="2"/>
      </rPr>
      <t>₂=</t>
    </r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</si>
  <si>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</si>
  <si>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b</t>
    </r>
    <r>
      <rPr>
        <sz val="11"/>
        <color theme="1"/>
        <rFont val="Calibri"/>
        <family val="2"/>
      </rPr>
      <t>₀=</t>
    </r>
  </si>
  <si>
    <r>
      <t>b</t>
    </r>
    <r>
      <rPr>
        <sz val="11"/>
        <color theme="1"/>
        <rFont val="Calibri"/>
        <family val="2"/>
      </rPr>
      <t>₁=</t>
    </r>
  </si>
  <si>
    <r>
      <t>c</t>
    </r>
    <r>
      <rPr>
        <sz val="11"/>
        <color theme="1"/>
        <rFont val="Calibri"/>
        <family val="2"/>
      </rPr>
      <t>₀=</t>
    </r>
  </si>
  <si>
    <r>
      <t>c</t>
    </r>
    <r>
      <rPr>
        <sz val="11"/>
        <color theme="1"/>
        <rFont val="Calibri"/>
        <family val="2"/>
      </rPr>
      <t>₁=</t>
    </r>
  </si>
  <si>
    <t>d=</t>
  </si>
  <si>
    <r>
      <t>Pa</t>
    </r>
    <r>
      <rPr>
        <sz val="11"/>
        <color theme="1"/>
        <rFont val="Calibri"/>
        <family val="2"/>
      </rPr>
      <t>¯²</t>
    </r>
  </si>
  <si>
    <t>e=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</si>
  <si>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Calibri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</si>
  <si>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>Z=</t>
  </si>
  <si>
    <t>h=</t>
  </si>
  <si>
    <t>Ma=</t>
  </si>
  <si>
    <t>kg/mol</t>
  </si>
  <si>
    <t>R=</t>
  </si>
  <si>
    <t>J/molK</t>
  </si>
  <si>
    <t>Xv=</t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</si>
  <si>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Calibri"/>
        <family val="2"/>
        <scheme val="minor"/>
      </rPr>
      <t>v=</t>
    </r>
  </si>
  <si>
    <t>Mv=</t>
  </si>
  <si>
    <t>Incertidumbre de Barómetro</t>
  </si>
  <si>
    <t>Incertidumbre de Termómetro</t>
  </si>
  <si>
    <t>Incertidumbre de Higrómetro</t>
  </si>
  <si>
    <t>Incertidumbre de la Ecuación</t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</si>
  <si>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</si>
  <si>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Resolución (d)</t>
  </si>
  <si>
    <t>Densidad</t>
  </si>
  <si>
    <r>
      <t>kg/m</t>
    </r>
    <r>
      <rPr>
        <sz val="11"/>
        <color theme="1"/>
        <rFont val="Calibri"/>
        <family val="2"/>
      </rPr>
      <t>³</t>
    </r>
  </si>
  <si>
    <t>U</t>
  </si>
  <si>
    <t>promedio</t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</si>
  <si>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</si>
  <si>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</si>
  <si>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</si>
  <si>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Coeficientes de Sencibilidad</t>
  </si>
  <si>
    <t>Datos</t>
  </si>
  <si>
    <t>Unidades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</si>
  <si>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</si>
  <si>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Relativa</t>
  </si>
  <si>
    <t>Ecuación</t>
  </si>
  <si>
    <t>R =</t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</si>
  <si>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</si>
  <si>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Refrencia: CODATA 2010, NIST Reference on Constants, Units and Uncertainty</t>
  </si>
  <si>
    <t xml:space="preserve">http://physics.nist.gov/cgi-bin/cuu/Value?r|search_for=gas+ </t>
  </si>
  <si>
    <t>Incertidumbre de la densidad del aire</t>
  </si>
  <si>
    <t>k=2</t>
  </si>
  <si>
    <t>La incertidumbre relativa debido a la fórmula del CIPM es 2,2 x 10-5 [4].</t>
  </si>
  <si>
    <t>incertidumbre de la densidad</t>
  </si>
  <si>
    <t>ρa=</t>
  </si>
  <si>
    <t>Sb</t>
  </si>
  <si>
    <t>Pesa de sensibilidad:</t>
  </si>
  <si>
    <t>Componentes Masa:</t>
  </si>
  <si>
    <t>Coefic. Sensibilidad:</t>
  </si>
  <si>
    <t>Incertidumbre, (K = 1):</t>
  </si>
  <si>
    <t>Incert. Est.(mg):</t>
  </si>
  <si>
    <t>% Aporte:</t>
  </si>
  <si>
    <t>Patrón:</t>
  </si>
  <si>
    <t>√ [(Ump/k)^2 + (uinst^2)]</t>
  </si>
  <si>
    <t>ΔL=</t>
  </si>
  <si>
    <t>Lecturas:</t>
  </si>
  <si>
    <t>mg/div</t>
  </si>
  <si>
    <t>Sb=</t>
  </si>
  <si>
    <t>ΔL</t>
  </si>
  <si>
    <t>div</t>
  </si>
  <si>
    <t>Dens Aire:</t>
  </si>
  <si>
    <t>mg/cm3</t>
  </si>
  <si>
    <t>cm3</t>
  </si>
  <si>
    <t>Dens. del Calibrando:</t>
  </si>
  <si>
    <t>Dens. del Patrón: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</si>
  <si>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</si>
  <si>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Error (mg) =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</si>
  <si>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</si>
  <si>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n</t>
    </r>
    <r>
      <rPr>
        <b/>
        <sz val="7"/>
        <rFont val="Arial"/>
        <family val="2"/>
      </rPr>
      <t>eff</t>
    </r>
  </si>
  <si>
    <t>Incertidumbre de la Calibración:</t>
  </si>
  <si>
    <t xml:space="preserve">mg </t>
  </si>
  <si>
    <t>(k=1)</t>
  </si>
  <si>
    <t>(k=2)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</si>
  <si>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</si>
  <si>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</si>
  <si>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r>
      <t xml:space="preserve">Grados efectivos de libertad </t>
    </r>
    <r>
      <rPr>
        <b/>
        <i/>
        <sz val="11"/>
        <rFont val="Calibri"/>
        <family val="2"/>
        <scheme val="minor"/>
      </rPr>
      <t>veff</t>
    </r>
  </si>
  <si>
    <r>
      <t>E= m</t>
    </r>
    <r>
      <rPr>
        <b/>
        <i/>
        <vertAlign val="subscript"/>
        <sz val="11"/>
        <color theme="1"/>
        <rFont val="Calibri"/>
        <family val="2"/>
        <scheme val="minor"/>
      </rPr>
      <t>cx</t>
    </r>
    <r>
      <rPr>
        <b/>
        <i/>
        <sz val="11"/>
        <color theme="1"/>
        <rFont val="Calibri"/>
        <family val="2"/>
        <scheme val="minor"/>
      </rPr>
      <t>-m</t>
    </r>
    <r>
      <rPr>
        <b/>
        <i/>
        <vertAlign val="subscript"/>
        <sz val="11"/>
        <color theme="1"/>
        <rFont val="Calibri"/>
        <family val="2"/>
        <scheme val="minor"/>
      </rPr>
      <t>N</t>
    </r>
  </si>
  <si>
    <t xml:space="preserve">Datos del Barómetro </t>
  </si>
  <si>
    <t>presión Pa</t>
  </si>
  <si>
    <t>Resolución Pa</t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</si>
  <si>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</si>
  <si>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</si>
  <si>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</si>
  <si>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</si>
  <si>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</si>
  <si>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</si>
  <si>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</si>
  <si>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</si>
  <si>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</si>
  <si>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</si>
  <si>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</si>
  <si>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</si>
  <si>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</si>
  <si>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</si>
  <si>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</si>
  <si>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</si>
  <si>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</si>
  <si>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</si>
  <si>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t>Identificación del certificado:</t>
  </si>
  <si>
    <t>Fecha de calibración:</t>
  </si>
  <si>
    <t>Objeto de calibración:</t>
  </si>
  <si>
    <t>No Aplica (N/A)</t>
  </si>
  <si>
    <t>Solicitante:</t>
  </si>
  <si>
    <t>Novaterra S.A.</t>
  </si>
  <si>
    <t>Dirección del solicitante:</t>
  </si>
  <si>
    <t xml:space="preserve">Lugar de calibración: </t>
  </si>
  <si>
    <t>Patrón utilizado</t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</si>
  <si>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</si>
  <si>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</si>
  <si>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Masa nominal  del calibrando</t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</si>
  <si>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</si>
  <si>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</si>
  <si>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</si>
  <si>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</si>
  <si>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t xml:space="preserve">Condiciones ambientales </t>
  </si>
  <si>
    <t>Iniciales</t>
  </si>
  <si>
    <t xml:space="preserve">Temperatura </t>
  </si>
  <si>
    <t xml:space="preserve">Humedad relativa </t>
  </si>
  <si>
    <t>Presión Atmósferica</t>
  </si>
  <si>
    <t>Finales</t>
  </si>
  <si>
    <t>hPa</t>
  </si>
  <si>
    <t>clase de exactitud</t>
  </si>
  <si>
    <t>Valor nominal (mg)</t>
  </si>
  <si>
    <t>Valor convencional (mg)</t>
  </si>
  <si>
    <t>ms</t>
  </si>
  <si>
    <t>Material del calibrando</t>
  </si>
  <si>
    <t>Balanza</t>
  </si>
  <si>
    <t>Termometro</t>
  </si>
  <si>
    <t>Higrometro</t>
  </si>
  <si>
    <t>Resolución /ºC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</si>
  <si>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</si>
  <si>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Resolución /%</t>
  </si>
  <si>
    <t>Resolución/ mg</t>
  </si>
  <si>
    <t>Serie / Código:</t>
  </si>
  <si>
    <t>Clase de exactitud:</t>
  </si>
  <si>
    <t>CCG Nicaragua, S.A</t>
  </si>
  <si>
    <t>AJENIC, S.A.</t>
  </si>
  <si>
    <t>Albanisa</t>
  </si>
  <si>
    <t>Alpla Nicaragua S.A.</t>
  </si>
  <si>
    <t>ANNIC</t>
  </si>
  <si>
    <t>A&amp;T Nicaragua S.A.</t>
  </si>
  <si>
    <t>Articulos y Construcciones Electricas de Nicaragua S.A</t>
  </si>
  <si>
    <t>Astaldi</t>
  </si>
  <si>
    <t>Biwater Interanational Limited</t>
  </si>
  <si>
    <t>BURKE AGRO DE NICARAGUA, S.A.</t>
  </si>
  <si>
    <t>Camanica Zona Franca S.A.</t>
  </si>
  <si>
    <t>Camanica Zona Franca Laboratorio Miramar</t>
  </si>
  <si>
    <t>Camanica Zona Franca Laboratorio Larvinic</t>
  </si>
  <si>
    <t>Camarones de Nicaragua S.A</t>
  </si>
  <si>
    <t>Café Soluble, S.A. - Cereales</t>
  </si>
  <si>
    <t>Café Soluble S.A.</t>
  </si>
  <si>
    <t>CAM International</t>
  </si>
  <si>
    <t>Casa del Café S.A.</t>
  </si>
  <si>
    <t>Casa McGregor</t>
  </si>
  <si>
    <t>CEGA de Nicaragua S.A</t>
  </si>
  <si>
    <t>CENSA</t>
  </si>
  <si>
    <t>CENTROLAC S.A.</t>
  </si>
  <si>
    <t>Cereales de Centroamérica, S.A.</t>
  </si>
  <si>
    <t>CDNR Minsa</t>
  </si>
  <si>
    <t>Compañía Cervecera de Nicaragua S.A.</t>
  </si>
  <si>
    <t>Compañía Centro Americana de Productos Lacteos S.A.</t>
  </si>
  <si>
    <t>Compañía Licorera de Nicaragua S.A.</t>
  </si>
  <si>
    <t>Corporacion Montelimar, S. A.</t>
  </si>
  <si>
    <t>Cukra Industrial S.A.</t>
  </si>
  <si>
    <t>Cruz Roja Nicaraguense</t>
  </si>
  <si>
    <t>DHL Global Forwarding</t>
  </si>
  <si>
    <t>Dicegsa</t>
  </si>
  <si>
    <t>Draexlmaier Partes Automotrices Nicaragua S.A.</t>
  </si>
  <si>
    <t>Drogueria Rocha</t>
  </si>
  <si>
    <t>Empresa Energetica Corinto LTD</t>
  </si>
  <si>
    <t>Fórmulas Químicas Industriales, S.A.</t>
  </si>
  <si>
    <t>Generifar</t>
  </si>
  <si>
    <t>Gildan Activewear (Rivas)</t>
  </si>
  <si>
    <t>Gildan Activewear Rivas II, S.A.</t>
  </si>
  <si>
    <t>Gildan Activewear (San Marcos)</t>
  </si>
  <si>
    <t>Holcim S.A. (Nicaragua)</t>
  </si>
  <si>
    <t>Industrías Cárnicas de Nicaragua S.A.</t>
  </si>
  <si>
    <t>Industrial Comercial San Martín S.A.</t>
  </si>
  <si>
    <t>Industria Nacional de Refresco S.A.</t>
  </si>
  <si>
    <t>IPROCEN S.A.</t>
  </si>
  <si>
    <t>Kola Shaler Industrial S.A.</t>
  </si>
  <si>
    <t>Laboratorios RARPE S.A.</t>
  </si>
  <si>
    <t>Langostino de Centro America S.A.</t>
  </si>
  <si>
    <t>Logistica Comercial</t>
  </si>
  <si>
    <t>Matadero Central  S.A.</t>
  </si>
  <si>
    <t>Medisut S.A.</t>
  </si>
  <si>
    <t>Metrología Consultores de Nicaragua S.A.</t>
  </si>
  <si>
    <t>Nestle S.A.</t>
  </si>
  <si>
    <t>Nicaragua Sugar Estates Limited</t>
  </si>
  <si>
    <t>Nicasolum</t>
  </si>
  <si>
    <t>NILAC</t>
  </si>
  <si>
    <t>Nova Honduras Zona Franca S.A.</t>
  </si>
  <si>
    <t>Nuevo Carnic S.A.</t>
  </si>
  <si>
    <t>Orgoma</t>
  </si>
  <si>
    <t>Pacific Seafoods de Nicaragua</t>
  </si>
  <si>
    <t>Panzyma Labratories S.A.</t>
  </si>
  <si>
    <t>Parmalat S.A.</t>
  </si>
  <si>
    <t>Plantel Benjamin Zeledon</t>
  </si>
  <si>
    <t>Polaris Energy Nicaragua S.A.</t>
  </si>
  <si>
    <t xml:space="preserve">Precon </t>
  </si>
  <si>
    <t>Productos del Aire (Suc Managua)</t>
  </si>
  <si>
    <t>Productos del Aire (Suc Chinandega)</t>
  </si>
  <si>
    <t>Protena Nicaragua</t>
  </si>
  <si>
    <t>PYASA Nicaragua</t>
  </si>
  <si>
    <t>Roo Hsing Co. Nicaragua S.A</t>
  </si>
  <si>
    <t>Sacos Macen de Nicaragua S.A.</t>
  </si>
  <si>
    <t>Suministros Químicos Industriales, S.A. (SUQUISA)</t>
  </si>
  <si>
    <t>Tecno Diagnóstica de Nicaragua S.A</t>
  </si>
  <si>
    <t>Teus Maritimas</t>
  </si>
  <si>
    <t>Tipitapa Power Company</t>
  </si>
  <si>
    <t>Yazaki de Nicaragua S.A.</t>
  </si>
  <si>
    <t>Tabla de resultados de la calibración</t>
  </si>
  <si>
    <t>Item</t>
  </si>
  <si>
    <t>Valor Nominal</t>
  </si>
  <si>
    <t>Valor convencional</t>
  </si>
  <si>
    <t>Serie /Código</t>
  </si>
  <si>
    <t>Desviación</t>
  </si>
  <si>
    <t>adimensional</t>
  </si>
  <si>
    <t>Resol. (mg)</t>
  </si>
  <si>
    <t xml:space="preserve">Desviación </t>
  </si>
  <si>
    <r>
      <t>Incertidumbre</t>
    </r>
    <r>
      <rPr>
        <sz val="10"/>
        <color rgb="FFFF0000"/>
        <rFont val="Arial"/>
        <family val="2"/>
      </rPr>
      <t xml:space="preserve"> </t>
    </r>
  </si>
  <si>
    <t>NI-MCPM-JM-04 (100g)</t>
  </si>
  <si>
    <t>NI-MCPM-JM-04 (50g)</t>
  </si>
  <si>
    <t>NI-MCPM-20-02 (20kg)</t>
  </si>
  <si>
    <t>INSCO</t>
  </si>
  <si>
    <t>NI-MCPM-10-04 (10kg)</t>
  </si>
  <si>
    <t>2018-06-09</t>
  </si>
  <si>
    <t>redonda</t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</si>
  <si>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</si>
  <si>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</si>
  <si>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t>T (°C)</t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</si>
  <si>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</si>
  <si>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kg/m³</t>
  </si>
  <si>
    <t>Pres. máx (P⁺)</t>
  </si>
  <si>
    <t>Temp. máx (t⁺)</t>
  </si>
  <si>
    <t>Humeda máx (h⁺)</t>
  </si>
  <si>
    <t>Pres. máx (P⁻)</t>
  </si>
  <si>
    <t>Temp. mín (t⁻)</t>
  </si>
  <si>
    <t>Humeda mín (h⁻)</t>
  </si>
  <si>
    <t>K¯¹</t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</si>
  <si>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</si>
  <si>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P²=</t>
  </si>
  <si>
    <t>T²=</t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</si>
  <si>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</si>
  <si>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a₀=</t>
  </si>
  <si>
    <t>KPa¯¹</t>
  </si>
  <si>
    <t>DL</t>
  </si>
  <si>
    <t>a₁=</t>
  </si>
  <si>
    <t>a₂=</t>
  </si>
  <si>
    <t>K¯¹Pa¯¹</t>
  </si>
  <si>
    <t>b₀=</t>
  </si>
  <si>
    <t>b₁=</t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</si>
  <si>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</si>
  <si>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c₀=</t>
  </si>
  <si>
    <t>c₁=</t>
  </si>
  <si>
    <t>Pa¯²</t>
  </si>
  <si>
    <t>K¯²Pa¯²</t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</si>
  <si>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</si>
  <si>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r>
      <t xml:space="preserve">Densidad </t>
    </r>
    <r>
      <rPr>
        <i/>
        <sz val="9"/>
        <rFont val="Arial"/>
        <family val="2"/>
      </rPr>
      <t>@ 20 °C</t>
    </r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</si>
  <si>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</si>
  <si>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 xml:space="preserve">Platino / </t>
    </r>
    <r>
      <rPr>
        <i/>
        <sz val="9"/>
        <rFont val="Arial"/>
        <family val="2"/>
      </rPr>
      <t>Platinum</t>
    </r>
  </si>
  <si>
    <r>
      <t xml:space="preserve">Aleación de Níquel / </t>
    </r>
    <r>
      <rPr>
        <i/>
        <sz val="9"/>
        <rFont val="Arial"/>
        <family val="2"/>
      </rPr>
      <t>Nickel Silver</t>
    </r>
  </si>
  <si>
    <r>
      <t xml:space="preserve">Bronce / </t>
    </r>
    <r>
      <rPr>
        <i/>
        <sz val="9"/>
        <rFont val="Arial"/>
        <family val="2"/>
      </rPr>
      <t>Brass</t>
    </r>
  </si>
  <si>
    <r>
      <t xml:space="preserve">Acero Inoxidable / </t>
    </r>
    <r>
      <rPr>
        <i/>
        <sz val="9"/>
        <rFont val="Arial"/>
        <family val="2"/>
      </rPr>
      <t>Stainless steel</t>
    </r>
  </si>
  <si>
    <r>
      <t xml:space="preserve">Acero al Carbón / </t>
    </r>
    <r>
      <rPr>
        <i/>
        <sz val="9"/>
        <rFont val="Arial"/>
        <family val="2"/>
      </rPr>
      <t>Carbon steel</t>
    </r>
  </si>
  <si>
    <t>Grados efectivos de libertad veff</t>
  </si>
  <si>
    <r>
      <t xml:space="preserve">Hierro / </t>
    </r>
    <r>
      <rPr>
        <i/>
        <sz val="9"/>
        <rFont val="Arial"/>
        <family val="2"/>
      </rPr>
      <t>Iron</t>
    </r>
  </si>
  <si>
    <r>
      <t xml:space="preserve">Hierro fundido (blanco) / </t>
    </r>
    <r>
      <rPr>
        <i/>
        <sz val="9"/>
        <rFont val="Arial"/>
        <family val="2"/>
      </rPr>
      <t>Cast iron (white)</t>
    </r>
  </si>
  <si>
    <r>
      <t xml:space="preserve">Hierro fundido (gris) / </t>
    </r>
    <r>
      <rPr>
        <i/>
        <sz val="9"/>
        <rFont val="Arial"/>
        <family val="2"/>
      </rPr>
      <t>Cast iron (grey)</t>
    </r>
  </si>
  <si>
    <r>
      <t xml:space="preserve">Aluminio / </t>
    </r>
    <r>
      <rPr>
        <i/>
        <sz val="9"/>
        <rFont val="Arial"/>
        <family val="2"/>
      </rPr>
      <t>Aluminum</t>
    </r>
  </si>
  <si>
    <t>X²v=</t>
  </si>
  <si>
    <r>
      <t xml:space="preserve">Plomo / </t>
    </r>
    <r>
      <rPr>
        <i/>
        <sz val="10"/>
        <rFont val="Arial"/>
        <family val="2"/>
      </rPr>
      <t>lead</t>
    </r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</si>
  <si>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</si>
  <si>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</si>
  <si>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ρp=</t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</si>
  <si>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</si>
  <si>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</si>
  <si>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</si>
  <si>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</si>
  <si>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</si>
  <si>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Densidad r (kg/m³)</t>
  </si>
  <si>
    <r>
      <t>Volumen cm</t>
    </r>
    <r>
      <rPr>
        <vertAlign val="superscript"/>
        <sz val="11"/>
        <color theme="1"/>
        <rFont val="Arial"/>
        <family val="2"/>
      </rPr>
      <t>3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</si>
  <si>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</si>
  <si>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</si>
  <si>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±δm en mg</t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</si>
  <si>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</si>
  <si>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</si>
  <si>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</si>
  <si>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</si>
  <si>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</si>
  <si>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Ing. Fredman A. Méndez M.</t>
  </si>
  <si>
    <t>Cliente</t>
  </si>
  <si>
    <t>METROLOGÍA CONSULTORES DE NICARAGUA, S.A.</t>
  </si>
  <si>
    <t>Base de datos de clientes</t>
  </si>
  <si>
    <t>Clave</t>
  </si>
  <si>
    <t xml:space="preserve">Coyotepe, 800 m norte               </t>
  </si>
  <si>
    <t>ACI-ACN</t>
  </si>
  <si>
    <t>Lotería Nacional, 300 m oeste. Entrada a Edificio Agricorp</t>
  </si>
  <si>
    <t>Agricola el Cardon S.A.</t>
  </si>
  <si>
    <t>Chinandega el Realejo - Carrtera a Corinto, trocha cañera el Ensayo 5 km</t>
  </si>
  <si>
    <t>Agroexport S,A.</t>
  </si>
  <si>
    <t>Gasolinera Puma Las Marias 700 m Carretera al Tuma.</t>
  </si>
  <si>
    <t xml:space="preserve">Agricola Nicavista </t>
  </si>
  <si>
    <t>Ciudad Rama, Atlántico Sur, Nicaragua</t>
  </si>
  <si>
    <t>Sinsa Altamira, 100 m al sur, 100 m este</t>
  </si>
  <si>
    <t>Apen</t>
  </si>
  <si>
    <t xml:space="preserve">ABASA Coca-Cola </t>
  </si>
  <si>
    <t>km 126,5 ruta al Atlántico, Rio Hondo, Zacapa - Guatemala</t>
  </si>
  <si>
    <t>Parque Industrial Las Mercedes, km 12,5 Carretera Norte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</si>
  <si>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</si>
  <si>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</si>
  <si>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</si>
  <si>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</si>
  <si>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</si>
  <si>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122,5 Carretera Managua, Matagalpa Entrada a Tejerina 500 m al norte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</si>
  <si>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</si>
  <si>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</si>
  <si>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</si>
  <si>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</si>
  <si>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</si>
  <si>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</si>
  <si>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 xml:space="preserve">3 Cruces, 400 m oeste, San Marcos   </t>
  </si>
  <si>
    <t>km 8,5 Carretera Masaya, 100 m Oeste, Managua</t>
  </si>
  <si>
    <t>De Los Semáforos del Hotel Fronteras 800 m Oeste, Ocotal-Nueva Segovia</t>
  </si>
  <si>
    <t>Inspectorate America corp</t>
  </si>
  <si>
    <t>km 8,5 carretera norte, 800 m al norte</t>
  </si>
  <si>
    <t>Km 17 Carretera a Masaya</t>
  </si>
  <si>
    <t>km 3,5 Carretera Norte. El Nuevo Diario 150 m oeste</t>
  </si>
  <si>
    <t>Jinotega, Banpro 100 m Este</t>
  </si>
  <si>
    <t>km 95, Laboratorios Divina, 800 m oeste. León</t>
  </si>
  <si>
    <t>Central American Fisheries S.A.</t>
  </si>
  <si>
    <t xml:space="preserve">km 46,5 Carretera Masaya-Tipitapa </t>
  </si>
  <si>
    <t>CIRA/UNAN-Managua</t>
  </si>
  <si>
    <t>km 119 Carretera a Chinandega, Gasolinera UNO</t>
  </si>
  <si>
    <t>km 12 Carretera a Masaya</t>
  </si>
  <si>
    <t>Hospital España 5 km al Oeste</t>
  </si>
  <si>
    <t>Carretera Norte, km 12,5 Módulo 2. Zona Franca Las Mercedes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</si>
  <si>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</si>
  <si>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</si>
  <si>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</si>
  <si>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</si>
  <si>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</si>
  <si>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</si>
  <si>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</si>
  <si>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Elvatron</t>
  </si>
  <si>
    <t>Rotonda El Güegüense, Managua</t>
  </si>
  <si>
    <t>km 123 Carretera Panamericana Sur, del empalme de La Virgen, 400 m Sur, Rivas</t>
  </si>
  <si>
    <t>Carretera Panamericana km 215,5 Somoto-Madriz</t>
  </si>
  <si>
    <t>Managua</t>
  </si>
  <si>
    <t>km 121 Carretera Managua - Matagalpa</t>
  </si>
  <si>
    <t>Estelí</t>
  </si>
  <si>
    <t>km 109,5 Carretera Panamericana Sur 300 m oeste</t>
  </si>
  <si>
    <t>Selva Negra, Matagalpa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</si>
  <si>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</si>
  <si>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</si>
  <si>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</si>
  <si>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</si>
  <si>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</si>
  <si>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Impelsa</t>
  </si>
  <si>
    <t>km 6,5 Carretera Norte, Contiguo a Bodega Pollo Estrella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</si>
  <si>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</si>
  <si>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</si>
  <si>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</si>
  <si>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</si>
  <si>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Puente El Edén 100 m norte, 100 m este, 75 m norte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</si>
  <si>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</si>
  <si>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</si>
  <si>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</si>
  <si>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</si>
  <si>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</si>
  <si>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6 Carretera Norte, Managua.</t>
  </si>
  <si>
    <t>Laboratorios Ceguel</t>
  </si>
  <si>
    <t>Carretera Masaya km 45,5 Granada</t>
  </si>
  <si>
    <t>Langostinos de Centroamérica, S.A.</t>
  </si>
  <si>
    <t>km 151 Carretera Chinandega al Guasuale, 2 km oeste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</si>
  <si>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</si>
  <si>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</si>
  <si>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</si>
  <si>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</si>
  <si>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Labnicsa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</si>
  <si>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</si>
  <si>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</si>
  <si>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</si>
  <si>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</si>
  <si>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</si>
  <si>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</si>
  <si>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 xml:space="preserve">km 16.8 Carretera Ticuantepe, Pozo Enacal  </t>
  </si>
  <si>
    <t>Margumar</t>
  </si>
  <si>
    <t>Zona Franca Las Mercedes, km 12,5 Carretera Norte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</si>
  <si>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</si>
  <si>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</si>
  <si>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</si>
  <si>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</si>
  <si>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</si>
  <si>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</si>
  <si>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</si>
  <si>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</si>
  <si>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</si>
  <si>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</si>
  <si>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</si>
  <si>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</si>
  <si>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</si>
  <si>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</si>
  <si>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Gasolinera Uno Plaza El Sol 100 m sur, 150 m oeste. Casa # 113 contiguo a SEVASA Los Robles</t>
  </si>
  <si>
    <t>Nicaragua American Cigars S.A.</t>
  </si>
  <si>
    <t>Rotonda el CEPAD 100 m este, 25 m sur</t>
  </si>
  <si>
    <t>km 14 Carretera Nueva a León</t>
  </si>
  <si>
    <t>km 10,5 Carretera Norte, 800 m al norte</t>
  </si>
  <si>
    <t>Orgoma-Nicaragua</t>
  </si>
  <si>
    <t>Cuerpo de Bomberos 175 m oeste, Managua</t>
  </si>
  <si>
    <t>ORTYCAST</t>
  </si>
  <si>
    <t>Semaforos Delicias del Volga, 200 m Norte, 200 m Oeste</t>
  </si>
  <si>
    <t>km 23,5 Carretera Sur, El Crucero.</t>
  </si>
  <si>
    <t>Del puesto de buses (terminal) Masatepe 800 m Sur</t>
  </si>
  <si>
    <t>Estelí costado Norte de la Universidad Farem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</si>
  <si>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</si>
  <si>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</si>
  <si>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</si>
  <si>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</si>
  <si>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</si>
  <si>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</si>
  <si>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</si>
  <si>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</si>
  <si>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</si>
  <si>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Edificio Torres Zamora oficina 7</t>
  </si>
  <si>
    <t>Lomas del Valle N°13 B</t>
  </si>
  <si>
    <t>Simplemente Madera Millworks S.A.</t>
  </si>
  <si>
    <t>km 12,5 Carretera Nueva León, Entrada a Xiloa 300 m Hacia La Laguna</t>
  </si>
  <si>
    <t>Estelí, km 147 Carretera Panamericana Norte, Frente Operaciones Policía Nacional</t>
  </si>
  <si>
    <t>Tabacos del Sol</t>
  </si>
  <si>
    <t>Tabacalera Tavicusa S,A.</t>
  </si>
  <si>
    <t>Surtidora El Oriental 50 m Este, Estelí</t>
  </si>
  <si>
    <t>Tecshoes Latinoamérica</t>
  </si>
  <si>
    <t>Terraexport S.A. (Planta Matagalpa)</t>
  </si>
  <si>
    <t>km 104,5 Carretera Sebaco a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</si>
  <si>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</si>
  <si>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</si>
  <si>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</si>
  <si>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</si>
  <si>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</si>
  <si>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</si>
  <si>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</si>
  <si>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</si>
  <si>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</si>
  <si>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</si>
  <si>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km 90,5 Carretera Managua - León</t>
  </si>
  <si>
    <t>Fabricante/Marca:</t>
  </si>
  <si>
    <t xml:space="preserve">Fabricante/Marca: </t>
  </si>
  <si>
    <t>Modelo:</t>
  </si>
  <si>
    <t>Código de identificación:</t>
  </si>
  <si>
    <t>Lugar de calibración:</t>
  </si>
  <si>
    <t>Resultados de la calibración</t>
  </si>
  <si>
    <t>Método de calibración</t>
  </si>
  <si>
    <t>Incertidumbre de los datos</t>
  </si>
  <si>
    <t>Descripción de patrones utilizados</t>
  </si>
  <si>
    <t>Observaciones</t>
  </si>
  <si>
    <t>Es responsabilidad del encargado del instrumento establecer la frecuencia del servicio de calibración.</t>
  </si>
  <si>
    <t>Nulo sin sello y firma</t>
  </si>
  <si>
    <t>Incertidumbre certificado calibración u          (mg)</t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</si>
  <si>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</si>
  <si>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t>Capacidad máxima:</t>
  </si>
  <si>
    <t>Condiciones ambientales</t>
  </si>
  <si>
    <t xml:space="preserve">Presión atmosférica </t>
  </si>
  <si>
    <t>Temperatura:</t>
  </si>
  <si>
    <t>°C ±</t>
  </si>
  <si>
    <t>Presión:</t>
  </si>
  <si>
    <t xml:space="preserve"> hPa</t>
  </si>
  <si>
    <t>Humedad relativa:</t>
  </si>
  <si>
    <t>% ±</t>
  </si>
  <si>
    <t>% RH</t>
  </si>
  <si>
    <t>Las pruebas se realizaron según el NI-MCIT-M-01 Instrucción para calibración de masas.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</si>
  <si>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</si>
  <si>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Patrón</t>
  </si>
  <si>
    <t>Trazabilidad</t>
  </si>
  <si>
    <t>Próx Calibración</t>
  </si>
  <si>
    <t>Los resultados emitidos en este certificado corresponden únicamente al objeto calibrado y a las magnitudes</t>
  </si>
  <si>
    <t>especificadas al momento de realizar el servicio.</t>
  </si>
  <si>
    <t>Este certificado de calibración no puede ser reproducido parcialmente excepto en su totalidad, sin previa</t>
  </si>
  <si>
    <t>aprobación escrita del laboratorio que lo emite.</t>
  </si>
  <si>
    <t xml:space="preserve"> .................Fin del certificado................</t>
  </si>
  <si>
    <t>Incertidumbre Expandida K=2</t>
  </si>
  <si>
    <t>(N/A)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</si>
  <si>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</si>
  <si>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t>SCM Metrología y Laboratorios 20181106-28-2</t>
  </si>
  <si>
    <t>NI-MCPPT-05</t>
  </si>
  <si>
    <t>NI-MCPPT-06</t>
  </si>
  <si>
    <t>Extech</t>
  </si>
  <si>
    <t>NI-MCPM-JM-04 (500g)</t>
  </si>
  <si>
    <t>Metrocal NI-MC-B-795-2018</t>
  </si>
  <si>
    <t>Metrocal NI-MC-B-796-2018</t>
  </si>
  <si>
    <t>Este certificado de calibración no debe ser reproducido sin la aprobación del laboratorio, excepto cuando se</t>
  </si>
  <si>
    <t>reproduce en su totalidad.</t>
  </si>
  <si>
    <t>Fecha de emisión del certificado:</t>
  </si>
  <si>
    <t>NI-MCPM-10-01 (10kg)</t>
  </si>
  <si>
    <t>NI-MCPM-10-03 (10kg)</t>
  </si>
  <si>
    <t>20190513-102-3</t>
  </si>
  <si>
    <t>SCM Metrología y Laboratorios 20190513-102-7</t>
  </si>
  <si>
    <t>SCM Metrología y Laboratorios 20190513-102-2</t>
  </si>
  <si>
    <t>SCM Metrología y Laboratorios 20190513-102-6</t>
  </si>
  <si>
    <t>Testo</t>
  </si>
  <si>
    <t>Equipo</t>
  </si>
  <si>
    <t>Fecha de Calibración</t>
  </si>
  <si>
    <t>Identificación del Equipo</t>
  </si>
  <si>
    <t>Código del Certificado</t>
  </si>
  <si>
    <t>50 kg</t>
  </si>
  <si>
    <t>20 kg</t>
  </si>
  <si>
    <t>10 kg</t>
  </si>
  <si>
    <t>5 kg</t>
  </si>
  <si>
    <t>2 kg</t>
  </si>
  <si>
    <t>1 kg</t>
  </si>
  <si>
    <t>500 g</t>
  </si>
  <si>
    <t>200 g</t>
  </si>
  <si>
    <t>100 g</t>
  </si>
  <si>
    <t>50 g</t>
  </si>
  <si>
    <t>20 g</t>
  </si>
  <si>
    <t>10 g</t>
  </si>
  <si>
    <t>5 g</t>
  </si>
  <si>
    <t>2 g</t>
  </si>
  <si>
    <t>1 g</t>
  </si>
  <si>
    <t>500 mg</t>
  </si>
  <si>
    <t>200 mg</t>
  </si>
  <si>
    <t>100 mg</t>
  </si>
  <si>
    <t>50 mg</t>
  </si>
  <si>
    <t>20 mg</t>
  </si>
  <si>
    <t>10 mg</t>
  </si>
  <si>
    <t>5 mg</t>
  </si>
  <si>
    <t>2 mg</t>
  </si>
  <si>
    <t>1 mg</t>
  </si>
  <si>
    <t>kg</t>
  </si>
  <si>
    <t>Emp (mg)</t>
  </si>
  <si>
    <t>**</t>
  </si>
  <si>
    <t>Comprobación en los valores nominales dentro del alcance = Falso</t>
  </si>
  <si>
    <t>Fuera del Alcance **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</si>
  <si>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</si>
  <si>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</si>
  <si>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Código de servicio:</t>
  </si>
  <si>
    <t>Trazabilidad de los patrones utilizados</t>
  </si>
  <si>
    <t xml:space="preserve">Higrotermometro </t>
  </si>
  <si>
    <t>20181106-28-2</t>
  </si>
  <si>
    <t xml:space="preserve">SCM </t>
  </si>
  <si>
    <t>20190513-102-7</t>
  </si>
  <si>
    <t>20190513-102-2</t>
  </si>
  <si>
    <t>Masa patrón</t>
  </si>
  <si>
    <t>NI-MCPM-20-01</t>
  </si>
  <si>
    <t>NI-MCPM-20-02</t>
  </si>
  <si>
    <t>NI-MCPM-10-02</t>
  </si>
  <si>
    <t>NI-MCPM-10-04</t>
  </si>
  <si>
    <t>Juego de masa</t>
  </si>
  <si>
    <t>NI-MCPM-JM-03</t>
  </si>
  <si>
    <t>NI-MCPM-JM-04</t>
  </si>
  <si>
    <t>Recope</t>
  </si>
  <si>
    <t>RCP-LMV-MSW-037-19</t>
  </si>
  <si>
    <t>Centro Sor María Romero 200 m Oeste, Estelí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</si>
  <si>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</si>
  <si>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</si>
  <si>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</si>
  <si>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</si>
  <si>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</si>
  <si>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</si>
  <si>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</si>
  <si>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</si>
  <si>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</si>
  <si>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</si>
  <si>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</si>
  <si>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</si>
  <si>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</si>
  <si>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</si>
  <si>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</si>
  <si>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</si>
  <si>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</si>
  <si>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</si>
  <si>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</si>
  <si>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</si>
  <si>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</si>
  <si>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</si>
  <si>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</si>
  <si>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</si>
  <si>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</si>
  <si>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</si>
  <si>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</si>
  <si>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</si>
  <si>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</si>
  <si>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</si>
  <si>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Nagarote</t>
  </si>
  <si>
    <t>Contiguo a entrada a Masaya</t>
  </si>
  <si>
    <t>Básculas Ramón Nicoya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</si>
  <si>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</si>
  <si>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</si>
  <si>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</si>
  <si>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</si>
  <si>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</si>
  <si>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</si>
  <si>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</si>
  <si>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</si>
  <si>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</si>
  <si>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</si>
  <si>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</si>
  <si>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</si>
  <si>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</si>
  <si>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</si>
  <si>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</si>
  <si>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</si>
  <si>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</si>
  <si>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</si>
  <si>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</si>
  <si>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</si>
  <si>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</si>
  <si>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</si>
  <si>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</si>
  <si>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</si>
  <si>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</si>
  <si>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</si>
  <si>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</si>
  <si>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</si>
  <si>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</si>
  <si>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</si>
  <si>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</si>
  <si>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</si>
  <si>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</si>
  <si>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</si>
  <si>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</si>
  <si>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</si>
  <si>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</si>
  <si>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</si>
  <si>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</si>
  <si>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</si>
  <si>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</si>
  <si>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</si>
  <si>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</si>
  <si>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</si>
  <si>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</si>
  <si>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</si>
  <si>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</si>
  <si>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</si>
  <si>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</si>
  <si>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</si>
  <si>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</si>
  <si>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</si>
  <si>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</si>
  <si>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</si>
  <si>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</si>
  <si>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</si>
  <si>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</si>
  <si>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</si>
  <si>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</si>
  <si>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</si>
  <si>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</si>
  <si>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</si>
  <si>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</si>
  <si>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</si>
  <si>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</si>
  <si>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</si>
  <si>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</si>
  <si>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</si>
  <si>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</si>
  <si>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</si>
  <si>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</si>
  <si>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</si>
  <si>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</si>
  <si>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</si>
  <si>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</si>
  <si>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</si>
  <si>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</si>
  <si>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</si>
  <si>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</si>
  <si>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</si>
  <si>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</si>
  <si>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</si>
  <si>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</si>
  <si>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</si>
  <si>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</si>
  <si>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</si>
  <si>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</si>
  <si>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</si>
  <si>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</si>
  <si>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</si>
  <si>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</si>
  <si>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</si>
  <si>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</si>
  <si>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</si>
  <si>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</si>
  <si>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</si>
  <si>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</si>
  <si>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</si>
  <si>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</si>
  <si>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</si>
  <si>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</si>
  <si>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</si>
  <si>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</si>
  <si>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</si>
  <si>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</si>
  <si>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</si>
  <si>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</si>
  <si>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</si>
  <si>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</si>
  <si>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</si>
  <si>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</si>
  <si>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</si>
  <si>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</si>
  <si>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</si>
  <si>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</si>
  <si>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</si>
  <si>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</si>
  <si>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</si>
  <si>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</si>
  <si>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</si>
  <si>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</si>
  <si>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</si>
  <si>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</si>
  <si>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</si>
  <si>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</si>
  <si>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</si>
  <si>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</si>
  <si>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</si>
  <si>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</si>
  <si>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</si>
  <si>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</si>
  <si>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</si>
  <si>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</si>
  <si>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</si>
  <si>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</si>
  <si>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</si>
  <si>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</si>
  <si>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</si>
  <si>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</si>
  <si>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</si>
  <si>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</si>
  <si>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</si>
  <si>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</si>
  <si>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</si>
  <si>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</si>
  <si>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</si>
  <si>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</si>
  <si>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</si>
  <si>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</si>
  <si>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</si>
  <si>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</si>
  <si>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</si>
  <si>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</si>
  <si>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</si>
  <si>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</si>
  <si>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</si>
  <si>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</si>
  <si>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</si>
  <si>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</si>
  <si>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</si>
  <si>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</si>
  <si>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</si>
  <si>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</si>
  <si>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</si>
  <si>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</si>
  <si>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</si>
  <si>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</si>
  <si>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</si>
  <si>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</si>
  <si>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</si>
  <si>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</si>
  <si>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</si>
  <si>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</si>
  <si>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</si>
  <si>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</si>
  <si>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</si>
  <si>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</si>
  <si>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</si>
  <si>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</si>
  <si>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</si>
  <si>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</si>
  <si>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</si>
  <si>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</si>
  <si>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</si>
  <si>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</si>
  <si>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</si>
  <si>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</si>
  <si>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</si>
  <si>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</si>
  <si>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</si>
  <si>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</si>
  <si>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</si>
  <si>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</si>
  <si>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</si>
  <si>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</si>
  <si>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</si>
  <si>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</si>
  <si>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</si>
  <si>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</si>
  <si>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</si>
  <si>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</si>
  <si>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</si>
  <si>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</si>
  <si>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</si>
  <si>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</si>
  <si>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</si>
  <si>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</si>
  <si>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</si>
  <si>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</si>
  <si>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</si>
  <si>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</si>
  <si>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</si>
  <si>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</si>
  <si>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</si>
  <si>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</si>
  <si>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</si>
  <si>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</si>
  <si>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</si>
  <si>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</si>
  <si>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</si>
  <si>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</si>
  <si>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</si>
  <si>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</si>
  <si>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</si>
  <si>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</si>
  <si>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</si>
  <si>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</si>
  <si>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</si>
  <si>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</si>
  <si>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</si>
  <si>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</si>
  <si>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</si>
  <si>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</si>
  <si>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</si>
  <si>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</si>
  <si>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</si>
  <si>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</si>
  <si>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</si>
  <si>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</si>
  <si>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</si>
  <si>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</si>
  <si>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</si>
  <si>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</si>
  <si>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</si>
  <si>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</si>
  <si>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</si>
  <si>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</si>
  <si>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</si>
  <si>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</si>
  <si>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</si>
  <si>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</si>
  <si>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</si>
  <si>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</si>
  <si>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</si>
  <si>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</si>
  <si>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</si>
  <si>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</si>
  <si>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</si>
  <si>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</si>
  <si>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</si>
  <si>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</si>
  <si>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</si>
  <si>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</si>
  <si>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</si>
  <si>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</si>
  <si>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</si>
  <si>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</si>
  <si>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</si>
  <si>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</si>
  <si>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</si>
  <si>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</si>
  <si>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</si>
  <si>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</si>
  <si>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</si>
  <si>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</si>
  <si>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</si>
  <si>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</si>
  <si>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</si>
  <si>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</si>
  <si>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</si>
  <si>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</si>
  <si>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</si>
  <si>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</si>
  <si>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</si>
  <si>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</si>
  <si>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</si>
  <si>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</si>
  <si>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</si>
  <si>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</si>
  <si>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</si>
  <si>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</si>
  <si>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</si>
  <si>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</si>
  <si>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</si>
  <si>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</si>
  <si>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</si>
  <si>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</si>
  <si>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</si>
  <si>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</si>
  <si>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</si>
  <si>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</si>
  <si>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</si>
  <si>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</si>
  <si>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</si>
  <si>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</si>
  <si>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</si>
  <si>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</si>
  <si>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</si>
  <si>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</si>
  <si>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</si>
  <si>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</si>
  <si>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</si>
  <si>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</si>
  <si>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</si>
  <si>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</si>
  <si>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</si>
  <si>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</si>
  <si>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</si>
  <si>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</si>
  <si>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</si>
  <si>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</si>
  <si>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</si>
  <si>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</si>
  <si>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</si>
  <si>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</si>
  <si>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</si>
  <si>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</si>
  <si>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</si>
  <si>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</si>
  <si>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</si>
  <si>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</si>
  <si>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</si>
  <si>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</si>
  <si>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</si>
  <si>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</si>
  <si>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</si>
  <si>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</si>
  <si>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</si>
  <si>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</si>
  <si>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</si>
  <si>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</si>
  <si>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</si>
  <si>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</si>
  <si>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</si>
  <si>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</si>
  <si>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</si>
  <si>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</si>
  <si>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</si>
  <si>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</si>
  <si>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</si>
  <si>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</si>
  <si>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</si>
  <si>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</si>
  <si>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</si>
  <si>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</si>
  <si>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</si>
  <si>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</si>
  <si>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</si>
  <si>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</si>
  <si>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</si>
  <si>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</si>
  <si>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</si>
  <si>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</si>
  <si>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</si>
  <si>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</si>
  <si>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</si>
  <si>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</si>
  <si>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</si>
  <si>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</si>
  <si>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</si>
  <si>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</si>
  <si>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</si>
  <si>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</si>
  <si>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</si>
  <si>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</si>
  <si>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</si>
  <si>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</si>
  <si>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</si>
  <si>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</si>
  <si>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</si>
  <si>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</si>
  <si>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</si>
  <si>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</si>
  <si>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</si>
  <si>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</si>
  <si>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</si>
  <si>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</si>
  <si>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</si>
  <si>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</si>
  <si>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</si>
  <si>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</si>
  <si>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</si>
  <si>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</si>
  <si>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</si>
  <si>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</si>
  <si>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</si>
  <si>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</si>
  <si>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</si>
  <si>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</si>
  <si>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</si>
  <si>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</si>
  <si>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</si>
  <si>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</si>
  <si>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</si>
  <si>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</si>
  <si>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</si>
  <si>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</si>
  <si>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</si>
  <si>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</si>
  <si>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</si>
  <si>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</si>
  <si>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</si>
  <si>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</si>
  <si>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</si>
  <si>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</si>
  <si>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</si>
  <si>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</si>
  <si>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</si>
  <si>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</si>
  <si>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</si>
  <si>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</si>
  <si>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</si>
  <si>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</si>
  <si>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</si>
  <si>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</si>
  <si>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</si>
  <si>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</si>
  <si>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</si>
  <si>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</si>
  <si>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</si>
  <si>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</si>
  <si>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</si>
  <si>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</si>
  <si>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</si>
  <si>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</si>
  <si>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</si>
  <si>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</si>
  <si>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</si>
  <si>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</si>
  <si>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</si>
  <si>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</si>
  <si>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</si>
  <si>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</si>
  <si>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</si>
  <si>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</si>
  <si>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</si>
  <si>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</si>
  <si>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</si>
  <si>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</si>
  <si>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</si>
  <si>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</si>
  <si>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</si>
  <si>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</si>
  <si>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</si>
  <si>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</si>
  <si>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</si>
  <si>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</si>
  <si>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</si>
  <si>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</si>
  <si>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</si>
  <si>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</si>
  <si>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</si>
  <si>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</si>
  <si>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</si>
  <si>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</si>
  <si>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</si>
  <si>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</si>
  <si>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</si>
  <si>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</si>
  <si>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</si>
  <si>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</si>
  <si>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</si>
  <si>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</si>
  <si>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</si>
  <si>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</si>
  <si>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</si>
  <si>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</si>
  <si>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</si>
  <si>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</si>
  <si>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</si>
  <si>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</si>
  <si>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</si>
  <si>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</si>
  <si>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</si>
  <si>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</si>
  <si>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</si>
  <si>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</si>
  <si>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</si>
  <si>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</si>
  <si>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</si>
  <si>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</si>
  <si>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</si>
  <si>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</si>
  <si>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</si>
  <si>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</si>
  <si>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</si>
  <si>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</si>
  <si>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</si>
  <si>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</si>
  <si>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</si>
  <si>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</si>
  <si>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</si>
  <si>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</si>
  <si>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</si>
  <si>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</si>
  <si>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</si>
  <si>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</si>
  <si>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</si>
  <si>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</si>
  <si>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</si>
  <si>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</si>
  <si>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</si>
  <si>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</si>
  <si>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Dirección de la empresa</t>
  </si>
  <si>
    <t>NI-CS-0600-22</t>
  </si>
  <si>
    <t>Fecha de próxima calibración:</t>
  </si>
  <si>
    <t>SCM-00039467</t>
  </si>
  <si>
    <t>SCM-00039471</t>
  </si>
  <si>
    <t>RCP-LMV-MSWS-095-23</t>
  </si>
  <si>
    <t>RCP-LMV-MSWS-105-2</t>
  </si>
  <si>
    <t>RCP-LMV-MSW-106-23</t>
  </si>
  <si>
    <t>RCP-LMV-MSW-107-23</t>
  </si>
  <si>
    <t>RCP-LMV-MSWS-096-23</t>
  </si>
  <si>
    <t>RCP-LMV-MSW-097-23</t>
  </si>
  <si>
    <t>2024-02-23</t>
  </si>
  <si>
    <t>Masa Patrón</t>
  </si>
  <si>
    <t>Mettler Toledo</t>
  </si>
  <si>
    <t>NI-MC-M-2056-2024</t>
  </si>
  <si>
    <t>Laboratorio #2 Metrocal</t>
  </si>
  <si>
    <t>NI-MCPM-20-10 (20kg)</t>
  </si>
  <si>
    <t>NI-MCPM-20-11 (20kg)</t>
  </si>
  <si>
    <t>NI-MCPM-20-12 (20kg)</t>
  </si>
  <si>
    <t>NI-MCPM-20-13 (20kg)</t>
  </si>
  <si>
    <t>NI-MCPM-20-14 (20kg)</t>
  </si>
  <si>
    <t>NI-MCPM-20-15 (20kg)</t>
  </si>
  <si>
    <t>NI-MCPM-20-16 (20kg)</t>
  </si>
  <si>
    <t>NI-MCPM-20-17 (20kg)</t>
  </si>
  <si>
    <t>NI-MCPM-20-18 (20kg)</t>
  </si>
  <si>
    <t>NI-MCPM-20-19 (20kg)</t>
  </si>
  <si>
    <t>NI-MCPM-20-20 (20kg)</t>
  </si>
  <si>
    <t>NI-MCPM-20-21 (20kg)</t>
  </si>
  <si>
    <t>NI-MCPM-20-22 (20kg)</t>
  </si>
  <si>
    <t>NI-MCPM-20-23 (20kg)</t>
  </si>
  <si>
    <t>NI-MCPM-20-24 (20kg)</t>
  </si>
  <si>
    <t>NI-MCPM-20-25 (20kg)</t>
  </si>
  <si>
    <t>NI-MCPM-20-26 (20kg)</t>
  </si>
  <si>
    <t>NI-MCPM-20-27 (20kg)</t>
  </si>
  <si>
    <t>NI-MCPM-20-28 (20kg)</t>
  </si>
  <si>
    <t>NI-MCPM-20-29 (20kg)</t>
  </si>
  <si>
    <t>NI-MCPM-20-30 (20kg)</t>
  </si>
  <si>
    <t>NI-MCPM-20-31 (20kg)</t>
  </si>
  <si>
    <t>NI-MCPM-20-32 (20kg)</t>
  </si>
  <si>
    <t>NI-MCPM-20-33 (20kg)</t>
  </si>
  <si>
    <t>NI-MCPM-20-34 (20kg)</t>
  </si>
  <si>
    <t>NI-MCPM-20-35 (20kg)</t>
  </si>
  <si>
    <t>NI-MCPM-20-36 (20kg)</t>
  </si>
  <si>
    <t>NI-MCPM-20-37 (20kg)</t>
  </si>
  <si>
    <t>NI-MCPM-20-38 (20kg)</t>
  </si>
  <si>
    <t>NI-MCPM-20-39 (20kg)</t>
  </si>
  <si>
    <t>NI-MCPM-20-40 (20kg)</t>
  </si>
  <si>
    <t>NI-MCPM-20-41 (20kg)</t>
  </si>
  <si>
    <t>NI-MCPM-20-42 (20kg)</t>
  </si>
  <si>
    <t>NI-MCPM-20-43 (20kg)</t>
  </si>
  <si>
    <t>NI-MCPM-20-44 (20kg)</t>
  </si>
  <si>
    <t>NI-MCPM-20-45 (20kg)</t>
  </si>
  <si>
    <t>NI-MCPM-20-46 (20kg)</t>
  </si>
  <si>
    <t>NI-MCPM-20-47 (20kg)</t>
  </si>
  <si>
    <t>NI-MCPM-20-48 (20kg)</t>
  </si>
  <si>
    <t>NI-MCPM-20-49 (20kg)</t>
  </si>
  <si>
    <t>NI-MCPM-20-50 (20kg)</t>
  </si>
  <si>
    <t>NI-MCPM-20-51 (20kg)</t>
  </si>
  <si>
    <t>NI-MCPM-20-52 (20kg)</t>
  </si>
  <si>
    <t>NI-MCPM-20-53 (20kg)</t>
  </si>
  <si>
    <t>NI-MCPM-20-54 (20kg)</t>
  </si>
  <si>
    <t>NI-MCPM-20-55 (20kg)</t>
  </si>
  <si>
    <t>NI-MCPM-20-56 (20kg)</t>
  </si>
  <si>
    <t>NI-MCPM-20-57 (20kg)</t>
  </si>
  <si>
    <t>NI-MCPM-20-58 (20kg)</t>
  </si>
  <si>
    <t>NI-MCPM-20-59 (20kg)</t>
  </si>
  <si>
    <t>RECOPE, Certificado RCP-LMV-MSWS-095-23</t>
  </si>
  <si>
    <t>hierro</t>
  </si>
  <si>
    <t>RECOPE, Certificado RCP-LMV-MSW-106-23</t>
  </si>
  <si>
    <t>RECOPE, Certificado RCP-LMV-MSW-096-23</t>
  </si>
  <si>
    <t>Metrología CR, Certificado MC-P-2023-096</t>
  </si>
  <si>
    <t>RECOPE, Certificado RCP-LMV-MSWS-105-23</t>
  </si>
  <si>
    <t>RECOPE, CertificadoRCP-LMV-MSW-107-23</t>
  </si>
  <si>
    <t>RECOPE, Certificado RCP-LMV-MSW-097-23</t>
  </si>
  <si>
    <t>SCM Metrología y Laboratorios SCM-00055159</t>
  </si>
  <si>
    <t>Resolución /ºC:</t>
  </si>
  <si>
    <t>Temp. Inicial /ºC:</t>
  </si>
  <si>
    <t>Temp. Final /ºC :</t>
  </si>
  <si>
    <t>Resolución /%:</t>
  </si>
  <si>
    <t>Humedad Inicial / %HR:</t>
  </si>
  <si>
    <t>Humedad Final / %HR:</t>
  </si>
  <si>
    <t>Resolución /Pa:</t>
  </si>
  <si>
    <t>Presión Inicial /Pa:</t>
  </si>
  <si>
    <t>Presión Final /Pa:</t>
  </si>
  <si>
    <t>Rango</t>
  </si>
  <si>
    <t>min.</t>
  </si>
  <si>
    <t>max.</t>
  </si>
  <si>
    <t>Punto #</t>
  </si>
  <si>
    <t>CMC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</si>
  <si>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</si>
  <si>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</si>
  <si>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</si>
  <si>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</si>
  <si>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</si>
  <si>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</si>
  <si>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</si>
  <si>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</si>
  <si>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</si>
  <si>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</si>
  <si>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</si>
  <si>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</si>
  <si>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</si>
  <si>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</si>
  <si>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</si>
  <si>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</si>
  <si>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m</t>
    </r>
    <r>
      <rPr>
        <i/>
        <vertAlign val="subscript"/>
        <sz val="11"/>
        <color theme="1"/>
        <rFont val="Calibri"/>
        <family val="2"/>
        <scheme val="minor"/>
      </rPr>
      <t>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</si>
  <si>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</si>
  <si>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CMC's Masas</t>
  </si>
  <si>
    <t>CMC (mg)</t>
  </si>
  <si>
    <t>Todo en [mg]</t>
  </si>
  <si>
    <t>Punto 11</t>
  </si>
  <si>
    <t>Punto 12</t>
  </si>
  <si>
    <t>Punto 13</t>
  </si>
  <si>
    <t>Punto 14</t>
  </si>
  <si>
    <t>Punto 15</t>
  </si>
  <si>
    <t>Punto 16</t>
  </si>
  <si>
    <t>Punto 17</t>
  </si>
  <si>
    <t>Punto 18</t>
  </si>
  <si>
    <t>Punto 19</t>
  </si>
  <si>
    <t>Punto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</si>
</sst>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164" formatCode="yyyy\-mm\-dd;@"/>
    <numFmt numFmtId="165" formatCode="0.0"/>
    <numFmt numFmtId="166" formatCode="#,##0.000"/>
    <numFmt numFmtId="167" formatCode="0.000"/>
    <numFmt numFmtId="168" formatCode="#,##0.0"/>
    <numFmt numFmtId="169" formatCode="#,##0.000000"/>
    <numFmt numFmtId="170" formatCode="0.0000"/>
    <numFmt numFmtId="171" formatCode="0.00000"/>
    <numFmt numFmtId="172" formatCode="0.000000"/>
    <numFmt numFmtId="173" formatCode="\ ?0.000\ 0"/>
    <numFmt numFmtId="174" formatCode="\ ?#,##0.000\ 0"/>
    <numFmt numFmtId="175" formatCode="0.0000000E+00"/>
    <numFmt numFmtId="176" formatCode="0.00000000"/>
    <numFmt numFmtId="177" formatCode="0.00000E+00"/>
    <numFmt numFmtId="178" formatCode="0.0000E+00"/>
    <numFmt numFmtId="179" formatCode="0.000E+00"/>
    <numFmt numFmtId="180" formatCode="0.000000000000000000"/>
    <numFmt numFmtId="181" formatCode="0.000000000"/>
    <numFmt numFmtId="182" formatCode="0.0000000"/>
    <numFmt numFmtId="183" formatCode="0.0.E+00"/>
    <numFmt numFmtId="184" formatCode="0.0E+00"/>
    <numFmt numFmtId="185" formatCode="\ ?0\ "/>
    <numFmt numFmtId="186" formatCode="0.000000E+00"/>
    <numFmt numFmtId="187" formatCode="\ ?0.000\ 000\ 0"/>
    <numFmt numFmtId="188" formatCode="\ ?0.0"/>
    <numFmt numFmtId="189" formatCode="\ ?0.000"/>
    <numFmt numFmtId="190" formatCode="\ ?#,##0.0"/>
    <numFmt numFmtId="191" formatCode="\ ?#,##0"/>
    <numFmt numFmtId="192" formatCode="\ ?#,##0.00"/>
    <numFmt numFmtId="193" formatCode="#,##0.0000"/>
    <numFmt numFmtId="194" formatCode="\ ?#,##0.00000"/>
    <numFmt numFmtId="195" formatCode="\ ?#,##0.000000"/>
    <numFmt numFmtId="196" formatCode="\ ?0.00000"/>
    <numFmt numFmtId="197" formatCode="yyyy/mm/dd;@"/>
    <numFmt numFmtId="198" formatCode="\ ?#,##0.0000"/>
    <numFmt numFmtId="199" formatCode="\ ?#,##0.0000000"/>
  </numFmts>
  <fonts count="139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  <font>
      <vertAlign val="subscript"/>
      <sz val="9"/>
      <color theme="1"/>
      <name val="Arial"/>
      <family val="2"/>
    </font>
    <font>
      <sz val="9"/>
      <color theme="1"/>
      <name val="Calibri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i/>
      <vertAlign val="subscript"/>
      <sz val="11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b/>
      <sz val="9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color indexed="81"/>
      <name val="Arial"/>
      <family val="2"/>
    </font>
    <font>
      <sz val="10"/>
      <color indexed="81"/>
      <name val="Tahoma"/>
      <family val="2"/>
    </font>
    <font>
      <sz val="10"/>
      <color indexed="15"/>
      <name val="Arial"/>
      <family val="2"/>
    </font>
    <font>
      <sz val="10"/>
      <color indexed="55"/>
      <name val="Arial"/>
      <family val="2"/>
    </font>
    <font>
      <b/>
      <sz val="10"/>
      <color indexed="12"/>
      <name val="Arial"/>
      <family val="2"/>
    </font>
    <font>
      <sz val="10"/>
      <color rgb="FFFF0000"/>
      <name val="Arial"/>
      <family val="2"/>
    </font>
    <font>
      <b/>
      <sz val="16"/>
      <name val="Arial"/>
      <family val="2"/>
    </font>
    <font>
      <b/>
      <sz val="12"/>
      <color rgb="FF0000FF"/>
      <name val="Arial"/>
      <family val="2"/>
    </font>
    <font>
      <sz val="10"/>
      <color rgb="FF0000FF"/>
      <name val="Arial"/>
      <family val="2"/>
    </font>
    <font>
      <sz val="10"/>
      <color theme="0"/>
      <name val="Arial"/>
      <family val="2"/>
    </font>
    <font>
      <b/>
      <sz val="11"/>
      <color theme="1"/>
      <name val="Calibri"/>
      <family val="2"/>
    </font>
    <font>
      <sz val="10"/>
      <name val="Times New Roman"/>
      <family val="1"/>
    </font>
    <font>
      <i/>
      <sz val="9"/>
      <name val="Times New Roman"/>
      <family val="1"/>
    </font>
    <font>
      <vertAlign val="superscript"/>
      <sz val="10"/>
      <name val="Times New Roman"/>
      <family val="1"/>
    </font>
    <font>
      <i/>
      <sz val="10"/>
      <name val="Times New Roman"/>
      <family val="1"/>
    </font>
    <font>
      <sz val="11"/>
      <name val="Arial"/>
      <family val="2"/>
    </font>
    <font>
      <sz val="7"/>
      <name val="Times New Roman"/>
      <family val="1"/>
    </font>
    <font>
      <i/>
      <sz val="11"/>
      <name val="Arial"/>
      <family val="2"/>
    </font>
    <font>
      <i/>
      <vertAlign val="subscript"/>
      <sz val="11"/>
      <name val="Arial"/>
      <family val="2"/>
    </font>
    <font>
      <sz val="8"/>
      <color theme="1"/>
      <name val="Arial"/>
      <family val="2"/>
    </font>
    <font>
      <vertAlign val="superscript"/>
      <sz val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sz val="14"/>
      <name val="Arial"/>
      <family val="2"/>
    </font>
    <font>
      <vertAlign val="subscript"/>
      <sz val="12"/>
      <name val="Arial"/>
      <family val="2"/>
    </font>
    <font>
      <b/>
      <sz val="18"/>
      <name val="Arial"/>
      <family val="2"/>
    </font>
    <font>
      <b/>
      <sz val="11"/>
      <color theme="1"/>
      <name val="Arial"/>
      <family val="2"/>
    </font>
    <font>
      <b/>
      <i/>
      <sz val="10"/>
      <name val="Arial"/>
      <family val="2"/>
    </font>
    <font>
      <b/>
      <sz val="7"/>
      <name val="Arial"/>
      <family val="2"/>
    </font>
    <font>
      <b/>
      <i/>
      <sz val="12"/>
      <name val="Arial"/>
      <family val="2"/>
    </font>
    <font>
      <i/>
      <sz val="12"/>
      <name val="Arial"/>
      <family val="2"/>
    </font>
    <font>
      <b/>
      <sz val="8"/>
      <color indexed="17"/>
      <name val="Tahoma"/>
      <family val="2"/>
    </font>
    <font>
      <b/>
      <i/>
      <sz val="10"/>
      <color indexed="14"/>
      <name val="Arial"/>
      <family val="2"/>
    </font>
    <font>
      <b/>
      <i/>
      <sz val="11"/>
      <name val="Calibri"/>
      <family val="2"/>
      <scheme val="minor"/>
    </font>
    <font>
      <b/>
      <sz val="10"/>
      <color theme="1"/>
      <name val="Arial"/>
      <family val="2"/>
    </font>
    <font>
      <sz val="14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8"/>
      <color rgb="FFC00000"/>
      <name val="Arial"/>
      <family val="2"/>
    </font>
    <font>
      <sz val="12"/>
      <color rgb="FFC00000"/>
      <name val="Arial"/>
      <family val="2"/>
    </font>
    <font>
      <vertAlign val="subscript"/>
      <sz val="12"/>
      <color rgb="FFC00000"/>
      <name val="Arial"/>
      <family val="2"/>
    </font>
    <font>
      <sz val="8"/>
      <color rgb="FFC00000"/>
      <name val="Arial"/>
      <family val="2"/>
    </font>
    <font>
      <b/>
      <sz val="12"/>
      <color rgb="FFC00000"/>
      <name val="Cambria"/>
      <family val="1"/>
    </font>
    <font>
      <b/>
      <sz val="12"/>
      <color rgb="FFC00000"/>
      <name val="Arial"/>
      <family val="2"/>
    </font>
    <font>
      <sz val="6"/>
      <color rgb="FFC00000"/>
      <name val="Arial"/>
      <family val="2"/>
    </font>
    <font>
      <vertAlign val="superscript"/>
      <sz val="12"/>
      <color rgb="FFC00000"/>
      <name val="Arial"/>
      <family val="2"/>
    </font>
    <font>
      <sz val="10"/>
      <color rgb="FFC00000"/>
      <name val="Arial"/>
      <family val="2"/>
    </font>
    <font>
      <b/>
      <sz val="10"/>
      <color rgb="FFC00000"/>
      <name val="Arial"/>
      <family val="2"/>
    </font>
    <font>
      <sz val="11"/>
      <color rgb="FFC00000"/>
      <name val="Arial"/>
      <family val="2"/>
    </font>
    <font>
      <sz val="18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bscript"/>
      <sz val="8"/>
      <color rgb="FFC00000"/>
      <name val="Arial"/>
      <family val="2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sz val="20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sz val="7"/>
      <name val="Arial"/>
      <family val="2"/>
    </font>
    <font>
      <sz val="11"/>
      <color rgb="FFFF0000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i/>
      <sz val="9"/>
      <name val="Arial"/>
      <family val="2"/>
    </font>
    <font>
      <vertAlign val="superscript"/>
      <sz val="10"/>
      <name val="Arial"/>
      <family val="2"/>
    </font>
    <font>
      <b/>
      <sz val="12"/>
      <color indexed="8"/>
      <name val="Arial"/>
      <family val="2"/>
    </font>
    <font>
      <i/>
      <sz val="10"/>
      <name val="Arial"/>
      <family val="2"/>
    </font>
    <font>
      <b/>
      <sz val="14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b/>
      <i/>
      <sz val="10"/>
      <color rgb="FFC00000"/>
      <name val="Arial"/>
      <family val="2"/>
    </font>
    <font>
      <b/>
      <i/>
      <sz val="11"/>
      <color rgb="FFC00000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b/>
      <sz val="12"/>
      <color theme="0"/>
      <name val="Arial"/>
      <family val="2"/>
    </font>
    <font>
      <sz val="9"/>
      <name val="Arial"/>
      <family val="2"/>
    </font>
    <font>
      <sz val="2"/>
      <color theme="1"/>
      <name val="Times New Roman"/>
      <family val="1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b/>
      <sz val="10"/>
      <color rgb="FFFFFF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8"/>
      <color rgb="FF222222"/>
      <name val="Arial"/>
      <family val="2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8"/>
      <color rgb="FF0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indexed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7" fillId="0" borderId="0"/>
    <xf numFmtId="0" fontId="55" fillId="0" borderId="0" applyNumberFormat="0" applyFill="0" applyBorder="0" applyAlignment="0" applyProtection="0">
      <alignment vertical="top"/>
      <protection locked="0"/>
    </xf>
  </cellStyleXfs>
  <cellXfs count="815">
    <xf numFmtId="0" fontId="0" fillId="0" borderId="0" xfId="0"/>
    <xf numFmtId="166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/>
    </xf>
    <xf numFmtId="4" fontId="11" fillId="0" borderId="3" xfId="0" applyNumberFormat="1" applyFont="1" applyBorder="1" applyAlignment="1">
      <alignment horizontal="center" vertical="center"/>
    </xf>
    <xf numFmtId="168" fontId="11" fillId="0" borderId="3" xfId="0" applyNumberFormat="1" applyFont="1" applyBorder="1" applyAlignment="1">
      <alignment horizontal="center" vertical="center"/>
    </xf>
    <xf numFmtId="3" fontId="11" fillId="0" borderId="3" xfId="0" applyNumberFormat="1" applyFont="1" applyBorder="1" applyAlignment="1">
      <alignment horizontal="center" vertical="center" wrapText="1"/>
    </xf>
    <xf numFmtId="168" fontId="11" fillId="0" borderId="3" xfId="0" applyNumberFormat="1" applyFont="1" applyBorder="1" applyAlignment="1">
      <alignment horizontal="center" vertical="center" wrapText="1"/>
    </xf>
    <xf numFmtId="166" fontId="12" fillId="0" borderId="3" xfId="0" applyNumberFormat="1" applyFont="1" applyBorder="1" applyAlignment="1">
      <alignment horizontal="center" vertical="center" wrapText="1"/>
    </xf>
    <xf numFmtId="0" fontId="7" fillId="4" borderId="10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vertical="center"/>
    </xf>
    <xf numFmtId="0" fontId="16" fillId="0" borderId="18" xfId="0" applyFont="1" applyBorder="1"/>
    <xf numFmtId="0" fontId="16" fillId="0" borderId="20" xfId="0" applyFont="1" applyBorder="1"/>
    <xf numFmtId="0" fontId="16" fillId="0" borderId="20" xfId="0" quotePrefix="1" applyFont="1" applyBorder="1" applyAlignment="1">
      <alignment horizontal="left" vertical="center"/>
    </xf>
    <xf numFmtId="0" fontId="16" fillId="0" borderId="18" xfId="0" applyFont="1" applyBorder="1" applyAlignment="1">
      <alignment vertical="center"/>
    </xf>
    <xf numFmtId="0" fontId="16" fillId="0" borderId="20" xfId="0" applyFont="1" applyBorder="1" applyAlignment="1">
      <alignment vertical="center"/>
    </xf>
    <xf numFmtId="0" fontId="20" fillId="0" borderId="18" xfId="0" applyFont="1" applyBorder="1" applyAlignment="1">
      <alignment vertical="center"/>
    </xf>
    <xf numFmtId="0" fontId="24" fillId="0" borderId="18" xfId="0" applyFont="1" applyBorder="1"/>
    <xf numFmtId="0" fontId="16" fillId="0" borderId="23" xfId="0" applyFont="1" applyBorder="1"/>
    <xf numFmtId="0" fontId="23" fillId="7" borderId="0" xfId="0" applyFont="1" applyFill="1"/>
    <xf numFmtId="1" fontId="21" fillId="7" borderId="25" xfId="0" applyNumberFormat="1" applyFont="1" applyFill="1" applyBorder="1"/>
    <xf numFmtId="0" fontId="21" fillId="7" borderId="26" xfId="0" applyFont="1" applyFill="1" applyBorder="1"/>
    <xf numFmtId="1" fontId="21" fillId="7" borderId="6" xfId="0" applyNumberFormat="1" applyFont="1" applyFill="1" applyBorder="1"/>
    <xf numFmtId="0" fontId="21" fillId="7" borderId="7" xfId="0" applyFont="1" applyFill="1" applyBorder="1"/>
    <xf numFmtId="0" fontId="17" fillId="7" borderId="30" xfId="0" applyFont="1" applyFill="1" applyBorder="1"/>
    <xf numFmtId="173" fontId="16" fillId="0" borderId="41" xfId="0" applyNumberFormat="1" applyFont="1" applyBorder="1" applyAlignment="1">
      <alignment horizontal="right" vertical="center"/>
    </xf>
    <xf numFmtId="173" fontId="16" fillId="0" borderId="26" xfId="0" applyNumberFormat="1" applyFont="1" applyBorder="1" applyAlignment="1">
      <alignment horizontal="right" vertical="center"/>
    </xf>
    <xf numFmtId="173" fontId="16" fillId="0" borderId="42" xfId="0" applyNumberFormat="1" applyFont="1" applyBorder="1" applyAlignment="1">
      <alignment horizontal="right" vertical="center"/>
    </xf>
    <xf numFmtId="170" fontId="17" fillId="6" borderId="43" xfId="0" applyNumberFormat="1" applyFont="1" applyFill="1" applyBorder="1" applyAlignment="1">
      <alignment horizontal="left" vertical="center"/>
    </xf>
    <xf numFmtId="0" fontId="16" fillId="0" borderId="3" xfId="1" applyFont="1" applyBorder="1" applyAlignment="1">
      <alignment vertical="center" wrapText="1"/>
    </xf>
    <xf numFmtId="0" fontId="16" fillId="0" borderId="3" xfId="1" applyFont="1" applyBorder="1" applyAlignment="1">
      <alignment vertical="center"/>
    </xf>
    <xf numFmtId="0" fontId="16" fillId="0" borderId="3" xfId="1" applyFont="1" applyBorder="1" applyAlignment="1">
      <alignment horizontal="center" vertical="center" wrapText="1"/>
    </xf>
    <xf numFmtId="0" fontId="39" fillId="0" borderId="3" xfId="1" applyFont="1" applyBorder="1"/>
    <xf numFmtId="2" fontId="42" fillId="2" borderId="3" xfId="1" applyNumberFormat="1" applyFont="1" applyFill="1" applyBorder="1"/>
    <xf numFmtId="0" fontId="41" fillId="0" borderId="0" xfId="1" applyFont="1"/>
    <xf numFmtId="0" fontId="16" fillId="0" borderId="0" xfId="1" applyFont="1"/>
    <xf numFmtId="1" fontId="39" fillId="0" borderId="0" xfId="1" applyNumberFormat="1" applyFont="1"/>
    <xf numFmtId="0" fontId="40" fillId="0" borderId="0" xfId="1" applyFont="1" applyAlignment="1">
      <alignment horizontal="center" vertical="center"/>
    </xf>
    <xf numFmtId="3" fontId="42" fillId="2" borderId="3" xfId="1" applyNumberFormat="1" applyFont="1" applyFill="1" applyBorder="1"/>
    <xf numFmtId="0" fontId="23" fillId="0" borderId="0" xfId="0" applyFont="1"/>
    <xf numFmtId="0" fontId="61" fillId="0" borderId="69" xfId="0" applyFont="1" applyBorder="1" applyAlignment="1">
      <alignment horizontal="center"/>
    </xf>
    <xf numFmtId="0" fontId="61" fillId="0" borderId="73" xfId="0" applyFont="1" applyBorder="1" applyAlignment="1">
      <alignment horizontal="center"/>
    </xf>
    <xf numFmtId="4" fontId="17" fillId="0" borderId="72" xfId="0" applyNumberFormat="1" applyFont="1" applyBorder="1" applyAlignment="1">
      <alignment horizontal="center" wrapText="1"/>
    </xf>
    <xf numFmtId="0" fontId="23" fillId="3" borderId="0" xfId="0" applyFont="1" applyFill="1" applyAlignment="1">
      <alignment horizontal="center" vertical="center"/>
    </xf>
    <xf numFmtId="4" fontId="23" fillId="0" borderId="0" xfId="0" applyNumberFormat="1" applyFont="1"/>
    <xf numFmtId="0" fontId="63" fillId="3" borderId="0" xfId="0" applyFont="1" applyFill="1" applyAlignment="1">
      <alignment horizontal="center"/>
    </xf>
    <xf numFmtId="0" fontId="57" fillId="3" borderId="0" xfId="0" applyFont="1" applyFill="1" applyAlignment="1">
      <alignment horizontal="center" vertical="center"/>
    </xf>
    <xf numFmtId="0" fontId="64" fillId="3" borderId="0" xfId="0" applyFont="1" applyFill="1" applyAlignment="1">
      <alignment horizontal="center"/>
    </xf>
    <xf numFmtId="0" fontId="20" fillId="3" borderId="0" xfId="0" applyFont="1" applyFill="1"/>
    <xf numFmtId="176" fontId="23" fillId="3" borderId="0" xfId="0" applyNumberFormat="1" applyFont="1" applyFill="1"/>
    <xf numFmtId="0" fontId="23" fillId="3" borderId="0" xfId="0" applyFont="1" applyFill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Protection="1">
      <protection locked="0"/>
    </xf>
    <xf numFmtId="0" fontId="17" fillId="0" borderId="78" xfId="0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17" fillId="0" borderId="80" xfId="0" applyFont="1" applyBorder="1" applyAlignment="1" applyProtection="1">
      <alignment horizontal="center"/>
      <protection locked="0"/>
    </xf>
    <xf numFmtId="0" fontId="7" fillId="3" borderId="0" xfId="0" applyFont="1" applyFill="1"/>
    <xf numFmtId="0" fontId="7" fillId="0" borderId="11" xfId="0" applyFont="1" applyBorder="1" applyAlignment="1" applyProtection="1">
      <alignment horizontal="center" vertical="center"/>
      <protection locked="0"/>
    </xf>
    <xf numFmtId="0" fontId="94" fillId="3" borderId="11" xfId="0" applyFont="1" applyFill="1" applyBorder="1" applyAlignment="1" applyProtection="1">
      <alignment horizontal="center" vertical="center"/>
      <protection locked="0"/>
    </xf>
    <xf numFmtId="0" fontId="7" fillId="4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4" fillId="3" borderId="0" xfId="0" applyFont="1" applyFill="1"/>
    <xf numFmtId="0" fontId="0" fillId="0" borderId="0" xfId="0" applyAlignment="1">
      <alignment horizontal="center"/>
    </xf>
    <xf numFmtId="0" fontId="91" fillId="9" borderId="78" xfId="0" applyFont="1" applyFill="1" applyBorder="1"/>
    <xf numFmtId="0" fontId="91" fillId="9" borderId="79" xfId="0" applyFont="1" applyFill="1" applyBorder="1"/>
    <xf numFmtId="0" fontId="7" fillId="0" borderId="11" xfId="0" applyFont="1" applyBorder="1" applyAlignment="1">
      <alignment horizontal="center" vertical="center"/>
    </xf>
    <xf numFmtId="0" fontId="94" fillId="3" borderId="11" xfId="0" applyFont="1" applyFill="1" applyBorder="1" applyAlignment="1">
      <alignment horizontal="center" vertical="center"/>
    </xf>
    <xf numFmtId="0" fontId="91" fillId="9" borderId="81" xfId="0" applyFont="1" applyFill="1" applyBorder="1"/>
    <xf numFmtId="0" fontId="91" fillId="9" borderId="81" xfId="0" applyFont="1" applyFill="1" applyBorder="1" applyAlignment="1">
      <alignment horizontal="center"/>
    </xf>
    <xf numFmtId="0" fontId="17" fillId="0" borderId="78" xfId="0" applyFont="1" applyBorder="1" applyAlignment="1">
      <alignment horizontal="center"/>
    </xf>
    <xf numFmtId="0" fontId="91" fillId="9" borderId="78" xfId="0" applyFont="1" applyFill="1" applyBorder="1" applyAlignment="1">
      <alignment horizontal="center"/>
    </xf>
    <xf numFmtId="0" fontId="91" fillId="9" borderId="80" xfId="0" applyFont="1" applyFill="1" applyBorder="1" applyAlignment="1">
      <alignment horizontal="center"/>
    </xf>
    <xf numFmtId="0" fontId="91" fillId="9" borderId="3" xfId="0" applyFont="1" applyFill="1" applyBorder="1"/>
    <xf numFmtId="0" fontId="91" fillId="9" borderId="3" xfId="0" applyFont="1" applyFill="1" applyBorder="1" applyAlignment="1">
      <alignment horizontal="center"/>
    </xf>
    <xf numFmtId="0" fontId="17" fillId="10" borderId="3" xfId="0" applyFont="1" applyFill="1" applyBorder="1"/>
    <xf numFmtId="0" fontId="17" fillId="3" borderId="3" xfId="0" applyFont="1" applyFill="1" applyBorder="1" applyAlignment="1">
      <alignment wrapText="1"/>
    </xf>
    <xf numFmtId="1" fontId="17" fillId="0" borderId="74" xfId="0" applyNumberFormat="1" applyFont="1" applyBorder="1" applyAlignment="1">
      <alignment horizontal="center"/>
    </xf>
    <xf numFmtId="165" fontId="17" fillId="0" borderId="80" xfId="0" applyNumberFormat="1" applyFont="1" applyBorder="1" applyAlignment="1">
      <alignment horizontal="center"/>
    </xf>
    <xf numFmtId="165" fontId="17" fillId="0" borderId="78" xfId="0" applyNumberFormat="1" applyFont="1" applyBorder="1" applyAlignment="1" applyProtection="1">
      <alignment horizontal="center"/>
      <protection locked="0"/>
    </xf>
    <xf numFmtId="189" fontId="17" fillId="6" borderId="32" xfId="0" applyNumberFormat="1" applyFont="1" applyFill="1" applyBorder="1" applyAlignment="1" applyProtection="1">
      <alignment horizontal="center" vertical="center"/>
      <protection locked="0"/>
    </xf>
    <xf numFmtId="172" fontId="17" fillId="0" borderId="37" xfId="0" applyNumberFormat="1" applyFont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182" fontId="22" fillId="3" borderId="0" xfId="0" applyNumberFormat="1" applyFont="1" applyFill="1" applyAlignment="1">
      <alignment horizontal="center" vertical="center"/>
    </xf>
    <xf numFmtId="1" fontId="7" fillId="14" borderId="3" xfId="0" applyNumberFormat="1" applyFont="1" applyFill="1" applyBorder="1" applyAlignment="1">
      <alignment horizontal="center" vertical="center"/>
    </xf>
    <xf numFmtId="167" fontId="7" fillId="14" borderId="3" xfId="0" applyNumberFormat="1" applyFont="1" applyFill="1" applyBorder="1" applyAlignment="1">
      <alignment horizontal="center" vertical="center"/>
    </xf>
    <xf numFmtId="0" fontId="7" fillId="14" borderId="3" xfId="0" applyFont="1" applyFill="1" applyBorder="1" applyAlignment="1">
      <alignment horizontal="center" vertical="center"/>
    </xf>
    <xf numFmtId="1" fontId="0" fillId="14" borderId="3" xfId="0" applyNumberFormat="1" applyFill="1" applyBorder="1" applyAlignment="1">
      <alignment horizontal="center" vertical="center"/>
    </xf>
    <xf numFmtId="167" fontId="0" fillId="14" borderId="3" xfId="0" applyNumberForma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7" fillId="15" borderId="3" xfId="0" applyFont="1" applyFill="1" applyBorder="1" applyAlignment="1">
      <alignment horizontal="center" vertical="center"/>
    </xf>
    <xf numFmtId="1" fontId="7" fillId="14" borderId="0" xfId="0" applyNumberFormat="1" applyFont="1" applyFill="1" applyAlignment="1">
      <alignment horizontal="center" vertical="center"/>
    </xf>
    <xf numFmtId="167" fontId="7" fillId="14" borderId="34" xfId="0" applyNumberFormat="1" applyFont="1" applyFill="1" applyBorder="1" applyAlignment="1">
      <alignment horizontal="center" vertical="center"/>
    </xf>
    <xf numFmtId="0" fontId="7" fillId="15" borderId="0" xfId="0" applyFont="1" applyFill="1" applyAlignment="1">
      <alignment horizontal="center" vertical="center"/>
    </xf>
    <xf numFmtId="0" fontId="7" fillId="15" borderId="34" xfId="0" applyFont="1" applyFill="1" applyBorder="1" applyAlignment="1">
      <alignment horizontal="center" vertical="center"/>
    </xf>
    <xf numFmtId="0" fontId="7" fillId="17" borderId="3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left" vertical="center"/>
    </xf>
    <xf numFmtId="0" fontId="0" fillId="17" borderId="0" xfId="0" applyFill="1" applyAlignment="1">
      <alignment horizontal="center"/>
    </xf>
    <xf numFmtId="0" fontId="7" fillId="17" borderId="34" xfId="0" applyFont="1" applyFill="1" applyBorder="1" applyAlignment="1">
      <alignment horizontal="center" vertical="center"/>
    </xf>
    <xf numFmtId="0" fontId="7" fillId="15" borderId="10" xfId="0" applyFont="1" applyFill="1" applyBorder="1" applyAlignment="1">
      <alignment horizontal="center" vertical="center"/>
    </xf>
    <xf numFmtId="0" fontId="7" fillId="15" borderId="3" xfId="0" applyFont="1" applyFill="1" applyBorder="1" applyAlignment="1" applyProtection="1">
      <alignment horizontal="center" vertical="center"/>
      <protection locked="0"/>
    </xf>
    <xf numFmtId="170" fontId="7" fillId="3" borderId="10" xfId="0" applyNumberFormat="1" applyFont="1" applyFill="1" applyBorder="1" applyAlignment="1" applyProtection="1">
      <alignment horizontal="center" vertical="center"/>
      <protection locked="0"/>
    </xf>
    <xf numFmtId="0" fontId="0" fillId="17" borderId="0" xfId="0" applyFill="1" applyAlignment="1">
      <alignment horizontal="center" vertical="top"/>
    </xf>
    <xf numFmtId="0" fontId="7" fillId="15" borderId="14" xfId="0" applyFont="1" applyFill="1" applyBorder="1" applyAlignment="1">
      <alignment horizontal="center" vertical="center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170" fontId="7" fillId="14" borderId="3" xfId="0" applyNumberFormat="1" applyFont="1" applyFill="1" applyBorder="1" applyAlignment="1">
      <alignment horizontal="center" vertical="center"/>
    </xf>
    <xf numFmtId="170" fontId="0" fillId="14" borderId="3" xfId="0" applyNumberFormat="1" applyFill="1" applyBorder="1" applyAlignment="1">
      <alignment horizontal="center" vertical="center"/>
    </xf>
    <xf numFmtId="170" fontId="7" fillId="14" borderId="34" xfId="0" applyNumberFormat="1" applyFont="1" applyFill="1" applyBorder="1" applyAlignment="1">
      <alignment horizontal="center" vertical="center"/>
    </xf>
    <xf numFmtId="170" fontId="7" fillId="0" borderId="10" xfId="0" applyNumberFormat="1" applyFont="1" applyBorder="1" applyAlignment="1" applyProtection="1">
      <alignment horizontal="center" vertical="center"/>
      <protection locked="0"/>
    </xf>
    <xf numFmtId="170" fontId="7" fillId="0" borderId="3" xfId="0" applyNumberFormat="1" applyFont="1" applyBorder="1" applyAlignment="1" applyProtection="1">
      <alignment horizontal="center" vertical="center"/>
      <protection locked="0"/>
    </xf>
    <xf numFmtId="170" fontId="7" fillId="0" borderId="10" xfId="0" applyNumberFormat="1" applyFont="1" applyBorder="1" applyAlignment="1">
      <alignment horizontal="center" vertical="center"/>
    </xf>
    <xf numFmtId="170" fontId="7" fillId="0" borderId="3" xfId="0" applyNumberFormat="1" applyFont="1" applyBorder="1" applyAlignment="1">
      <alignment horizontal="center" vertical="center"/>
    </xf>
    <xf numFmtId="165" fontId="7" fillId="0" borderId="10" xfId="0" applyNumberFormat="1" applyFont="1" applyBorder="1" applyAlignment="1" applyProtection="1">
      <alignment horizontal="center" vertical="center"/>
      <protection locked="0"/>
    </xf>
    <xf numFmtId="165" fontId="7" fillId="0" borderId="3" xfId="0" applyNumberFormat="1" applyFont="1" applyBorder="1" applyAlignment="1" applyProtection="1">
      <alignment horizontal="center" vertical="center"/>
      <protection locked="0"/>
    </xf>
    <xf numFmtId="188" fontId="17" fillId="0" borderId="32" xfId="0" applyNumberFormat="1" applyFont="1" applyBorder="1" applyAlignment="1" applyProtection="1">
      <alignment horizontal="center" vertical="center"/>
      <protection locked="0"/>
    </xf>
    <xf numFmtId="188" fontId="17" fillId="0" borderId="11" xfId="0" applyNumberFormat="1" applyFont="1" applyBorder="1" applyAlignment="1" applyProtection="1">
      <alignment horizontal="center" vertical="center"/>
      <protection locked="0"/>
    </xf>
    <xf numFmtId="188" fontId="17" fillId="0" borderId="38" xfId="0" applyNumberFormat="1" applyFont="1" applyBorder="1" applyAlignment="1" applyProtection="1">
      <alignment horizontal="center" vertical="center"/>
      <protection locked="0"/>
    </xf>
    <xf numFmtId="188" fontId="17" fillId="0" borderId="3" xfId="0" applyNumberFormat="1" applyFont="1" applyBorder="1" applyAlignment="1" applyProtection="1">
      <alignment horizontal="center" vertical="center"/>
      <protection locked="0"/>
    </xf>
    <xf numFmtId="0" fontId="17" fillId="14" borderId="1" xfId="0" applyFont="1" applyFill="1" applyBorder="1" applyAlignment="1">
      <alignment horizontal="right" vertical="center"/>
    </xf>
    <xf numFmtId="0" fontId="17" fillId="14" borderId="9" xfId="0" applyFont="1" applyFill="1" applyBorder="1" applyAlignment="1">
      <alignment horizontal="center" vertical="center"/>
    </xf>
    <xf numFmtId="0" fontId="17" fillId="14" borderId="19" xfId="0" applyFont="1" applyFill="1" applyBorder="1" applyAlignment="1">
      <alignment horizontal="left" vertical="center"/>
    </xf>
    <xf numFmtId="0" fontId="17" fillId="14" borderId="1" xfId="0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2" fontId="17" fillId="14" borderId="9" xfId="0" applyNumberFormat="1" applyFont="1" applyFill="1" applyBorder="1" applyAlignment="1">
      <alignment horizontal="left" vertical="center"/>
    </xf>
    <xf numFmtId="0" fontId="17" fillId="14" borderId="19" xfId="0" applyFont="1" applyFill="1" applyBorder="1" applyAlignment="1">
      <alignment vertical="center"/>
    </xf>
    <xf numFmtId="165" fontId="17" fillId="14" borderId="1" xfId="0" applyNumberFormat="1" applyFont="1" applyFill="1" applyBorder="1" applyAlignment="1">
      <alignment horizontal="left" vertical="center"/>
    </xf>
    <xf numFmtId="4" fontId="17" fillId="14" borderId="1" xfId="0" applyNumberFormat="1" applyFont="1" applyFill="1" applyBorder="1" applyAlignment="1">
      <alignment horizontal="left" vertical="center"/>
    </xf>
    <xf numFmtId="173" fontId="17" fillId="14" borderId="19" xfId="0" applyNumberFormat="1" applyFont="1" applyFill="1" applyBorder="1" applyAlignment="1">
      <alignment horizontal="left" vertical="center"/>
    </xf>
    <xf numFmtId="0" fontId="17" fillId="14" borderId="9" xfId="0" applyFont="1" applyFill="1" applyBorder="1" applyAlignment="1">
      <alignment vertical="center"/>
    </xf>
    <xf numFmtId="0" fontId="17" fillId="14" borderId="1" xfId="0" applyFont="1" applyFill="1" applyBorder="1"/>
    <xf numFmtId="0" fontId="23" fillId="14" borderId="9" xfId="0" applyFont="1" applyFill="1" applyBorder="1"/>
    <xf numFmtId="0" fontId="23" fillId="14" borderId="19" xfId="0" applyFont="1" applyFill="1" applyBorder="1"/>
    <xf numFmtId="0" fontId="23" fillId="14" borderId="0" xfId="0" applyFont="1" applyFill="1"/>
    <xf numFmtId="0" fontId="23" fillId="14" borderId="21" xfId="0" applyFont="1" applyFill="1" applyBorder="1"/>
    <xf numFmtId="0" fontId="17" fillId="14" borderId="1" xfId="0" applyFont="1" applyFill="1" applyBorder="1" applyAlignment="1">
      <alignment vertical="center"/>
    </xf>
    <xf numFmtId="0" fontId="17" fillId="14" borderId="22" xfId="0" applyFont="1" applyFill="1" applyBorder="1" applyAlignment="1">
      <alignment vertical="center"/>
    </xf>
    <xf numFmtId="0" fontId="27" fillId="14" borderId="1" xfId="0" applyFont="1" applyFill="1" applyBorder="1" applyAlignment="1">
      <alignment vertical="center"/>
    </xf>
    <xf numFmtId="0" fontId="27" fillId="14" borderId="9" xfId="0" applyFont="1" applyFill="1" applyBorder="1" applyAlignment="1">
      <alignment vertical="center"/>
    </xf>
    <xf numFmtId="0" fontId="27" fillId="14" borderId="19" xfId="0" applyFont="1" applyFill="1" applyBorder="1" applyAlignment="1">
      <alignment vertical="center"/>
    </xf>
    <xf numFmtId="2" fontId="17" fillId="14" borderId="1" xfId="0" applyNumberFormat="1" applyFont="1" applyFill="1" applyBorder="1" applyAlignment="1">
      <alignment horizontal="left" vertical="center"/>
    </xf>
    <xf numFmtId="0" fontId="17" fillId="14" borderId="24" xfId="0" applyFont="1" applyFill="1" applyBorder="1" applyAlignment="1">
      <alignment horizontal="center" vertical="center"/>
    </xf>
    <xf numFmtId="0" fontId="16" fillId="14" borderId="2" xfId="0" applyFont="1" applyFill="1" applyBorder="1" applyAlignment="1">
      <alignment horizontal="center" vertical="center"/>
    </xf>
    <xf numFmtId="0" fontId="36" fillId="14" borderId="13" xfId="0" applyFont="1" applyFill="1" applyBorder="1" applyAlignment="1">
      <alignment vertical="center"/>
    </xf>
    <xf numFmtId="0" fontId="16" fillId="14" borderId="31" xfId="0" applyFont="1" applyFill="1" applyBorder="1" applyAlignment="1">
      <alignment vertical="center"/>
    </xf>
    <xf numFmtId="0" fontId="20" fillId="14" borderId="31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center" vertical="center"/>
    </xf>
    <xf numFmtId="0" fontId="4" fillId="14" borderId="0" xfId="0" applyFont="1" applyFill="1" applyAlignment="1">
      <alignment vertical="center"/>
    </xf>
    <xf numFmtId="0" fontId="4" fillId="14" borderId="6" xfId="0" applyFont="1" applyFill="1" applyBorder="1" applyAlignment="1">
      <alignment horizontal="center" vertical="center"/>
    </xf>
    <xf numFmtId="0" fontId="4" fillId="14" borderId="7" xfId="0" applyFont="1" applyFill="1" applyBorder="1" applyAlignment="1">
      <alignment vertical="center"/>
    </xf>
    <xf numFmtId="0" fontId="4" fillId="14" borderId="13" xfId="0" applyFont="1" applyFill="1" applyBorder="1" applyAlignment="1">
      <alignment horizontal="left" vertical="center"/>
    </xf>
    <xf numFmtId="0" fontId="38" fillId="14" borderId="7" xfId="0" applyFont="1" applyFill="1" applyBorder="1" applyAlignment="1">
      <alignment horizontal="center" vertical="center"/>
    </xf>
    <xf numFmtId="0" fontId="37" fillId="14" borderId="7" xfId="0" applyFont="1" applyFill="1" applyBorder="1" applyAlignment="1">
      <alignment vertical="center"/>
    </xf>
    <xf numFmtId="174" fontId="38" fillId="14" borderId="0" xfId="0" applyNumberFormat="1" applyFont="1" applyFill="1" applyAlignment="1">
      <alignment horizontal="center" vertical="center"/>
    </xf>
    <xf numFmtId="0" fontId="16" fillId="14" borderId="2" xfId="0" applyFont="1" applyFill="1" applyBorder="1" applyAlignment="1">
      <alignment vertical="center"/>
    </xf>
    <xf numFmtId="0" fontId="38" fillId="14" borderId="0" xfId="0" applyFont="1" applyFill="1" applyAlignment="1">
      <alignment horizontal="center" vertical="center"/>
    </xf>
    <xf numFmtId="0" fontId="16" fillId="14" borderId="0" xfId="0" applyFont="1" applyFill="1" applyAlignment="1">
      <alignment vertical="center"/>
    </xf>
    <xf numFmtId="0" fontId="20" fillId="14" borderId="0" xfId="0" applyFont="1" applyFill="1" applyAlignment="1">
      <alignment vertical="center"/>
    </xf>
    <xf numFmtId="0" fontId="20" fillId="14" borderId="7" xfId="0" applyFont="1" applyFill="1" applyBorder="1" applyAlignment="1">
      <alignment vertical="center"/>
    </xf>
    <xf numFmtId="174" fontId="38" fillId="14" borderId="7" xfId="0" applyNumberFormat="1" applyFont="1" applyFill="1" applyBorder="1" applyAlignment="1">
      <alignment horizontal="center" vertical="center"/>
    </xf>
    <xf numFmtId="0" fontId="16" fillId="14" borderId="9" xfId="0" applyFont="1" applyFill="1" applyBorder="1" applyAlignment="1">
      <alignment vertical="center"/>
    </xf>
    <xf numFmtId="0" fontId="16" fillId="14" borderId="3" xfId="0" applyFont="1" applyFill="1" applyBorder="1" applyAlignment="1">
      <alignment horizontal="center" vertical="center"/>
    </xf>
    <xf numFmtId="0" fontId="16" fillId="14" borderId="34" xfId="0" applyFont="1" applyFill="1" applyBorder="1" applyAlignment="1">
      <alignment horizontal="center"/>
    </xf>
    <xf numFmtId="0" fontId="16" fillId="14" borderId="12" xfId="0" applyFont="1" applyFill="1" applyBorder="1" applyAlignment="1">
      <alignment horizontal="center"/>
    </xf>
    <xf numFmtId="0" fontId="16" fillId="14" borderId="11" xfId="0" applyFont="1" applyFill="1" applyBorder="1" applyAlignment="1" applyProtection="1">
      <alignment horizontal="center"/>
      <protection locked="0"/>
    </xf>
    <xf numFmtId="0" fontId="16" fillId="14" borderId="11" xfId="0" applyFont="1" applyFill="1" applyBorder="1" applyAlignment="1">
      <alignment horizontal="center"/>
    </xf>
    <xf numFmtId="0" fontId="16" fillId="14" borderId="33" xfId="0" applyFont="1" applyFill="1" applyBorder="1" applyAlignment="1">
      <alignment horizontal="center" vertical="center"/>
    </xf>
    <xf numFmtId="0" fontId="23" fillId="14" borderId="35" xfId="0" applyFont="1" applyFill="1" applyBorder="1"/>
    <xf numFmtId="0" fontId="22" fillId="14" borderId="36" xfId="0" applyFont="1" applyFill="1" applyBorder="1" applyAlignment="1">
      <alignment horizontal="center"/>
    </xf>
    <xf numFmtId="2" fontId="17" fillId="14" borderId="3" xfId="0" applyNumberFormat="1" applyFont="1" applyFill="1" applyBorder="1" applyAlignment="1">
      <alignment horizontal="center" vertical="center"/>
    </xf>
    <xf numFmtId="196" fontId="17" fillId="17" borderId="11" xfId="0" applyNumberFormat="1" applyFont="1" applyFill="1" applyBorder="1" applyAlignment="1">
      <alignment horizontal="center" vertical="center"/>
    </xf>
    <xf numFmtId="196" fontId="17" fillId="17" borderId="3" xfId="0" applyNumberFormat="1" applyFont="1" applyFill="1" applyBorder="1" applyAlignment="1">
      <alignment horizontal="center" vertical="center"/>
    </xf>
    <xf numFmtId="173" fontId="17" fillId="14" borderId="3" xfId="0" applyNumberFormat="1" applyFont="1" applyFill="1" applyBorder="1" applyAlignment="1">
      <alignment horizontal="center" vertical="center"/>
    </xf>
    <xf numFmtId="170" fontId="17" fillId="14" borderId="3" xfId="0" applyNumberFormat="1" applyFont="1" applyFill="1" applyBorder="1" applyAlignment="1">
      <alignment horizontal="center" vertical="center"/>
    </xf>
    <xf numFmtId="173" fontId="17" fillId="14" borderId="40" xfId="0" applyNumberFormat="1" applyFont="1" applyFill="1" applyBorder="1" applyAlignment="1">
      <alignment horizontal="center" vertical="center"/>
    </xf>
    <xf numFmtId="0" fontId="98" fillId="15" borderId="0" xfId="0" applyFont="1" applyFill="1"/>
    <xf numFmtId="0" fontId="98" fillId="0" borderId="0" xfId="0" applyFont="1"/>
    <xf numFmtId="0" fontId="98" fillId="3" borderId="0" xfId="0" applyFont="1" applyFill="1"/>
    <xf numFmtId="0" fontId="98" fillId="14" borderId="4" xfId="0" applyFont="1" applyFill="1" applyBorder="1" applyAlignment="1">
      <alignment horizontal="center" vertical="center"/>
    </xf>
    <xf numFmtId="0" fontId="38" fillId="14" borderId="2" xfId="0" applyFont="1" applyFill="1" applyBorder="1" applyAlignment="1">
      <alignment horizontal="center" vertical="center"/>
    </xf>
    <xf numFmtId="0" fontId="98" fillId="14" borderId="2" xfId="0" applyFont="1" applyFill="1" applyBorder="1" applyAlignment="1">
      <alignment horizontal="center" vertical="center"/>
    </xf>
    <xf numFmtId="0" fontId="98" fillId="14" borderId="5" xfId="0" applyFont="1" applyFill="1" applyBorder="1"/>
    <xf numFmtId="0" fontId="98" fillId="14" borderId="0" xfId="0" applyFont="1" applyFill="1" applyAlignment="1">
      <alignment vertical="center"/>
    </xf>
    <xf numFmtId="0" fontId="98" fillId="14" borderId="14" xfId="0" applyFont="1" applyFill="1" applyBorder="1"/>
    <xf numFmtId="0" fontId="98" fillId="0" borderId="3" xfId="0" applyFont="1" applyBorder="1"/>
    <xf numFmtId="0" fontId="98" fillId="14" borderId="13" xfId="0" applyFont="1" applyFill="1" applyBorder="1" applyAlignment="1">
      <alignment horizontal="center" vertical="center"/>
    </xf>
    <xf numFmtId="191" fontId="98" fillId="13" borderId="0" xfId="0" applyNumberFormat="1" applyFont="1" applyFill="1" applyAlignment="1">
      <alignment horizontal="center" vertical="center"/>
    </xf>
    <xf numFmtId="195" fontId="98" fillId="13" borderId="0" xfId="0" applyNumberFormat="1" applyFont="1" applyFill="1" applyAlignment="1">
      <alignment horizontal="center" vertical="center"/>
    </xf>
    <xf numFmtId="192" fontId="98" fillId="13" borderId="0" xfId="0" applyNumberFormat="1" applyFont="1" applyFill="1" applyAlignment="1">
      <alignment horizontal="center" vertical="center"/>
    </xf>
    <xf numFmtId="190" fontId="98" fillId="13" borderId="0" xfId="0" applyNumberFormat="1" applyFont="1" applyFill="1" applyAlignment="1">
      <alignment horizontal="center" vertical="center"/>
    </xf>
    <xf numFmtId="0" fontId="98" fillId="0" borderId="3" xfId="0" applyFont="1" applyBorder="1" applyAlignment="1">
      <alignment horizontal="center"/>
    </xf>
    <xf numFmtId="0" fontId="98" fillId="14" borderId="8" xfId="0" applyFont="1" applyFill="1" applyBorder="1"/>
    <xf numFmtId="4" fontId="98" fillId="0" borderId="0" xfId="0" applyNumberFormat="1" applyFont="1"/>
    <xf numFmtId="0" fontId="60" fillId="14" borderId="3" xfId="0" applyFont="1" applyFill="1" applyBorder="1"/>
    <xf numFmtId="2" fontId="98" fillId="14" borderId="3" xfId="0" applyNumberFormat="1" applyFont="1" applyFill="1" applyBorder="1"/>
    <xf numFmtId="177" fontId="98" fillId="0" borderId="0" xfId="0" applyNumberFormat="1" applyFont="1" applyAlignment="1">
      <alignment horizontal="center"/>
    </xf>
    <xf numFmtId="0" fontId="20" fillId="0" borderId="71" xfId="0" applyFont="1" applyBorder="1" applyAlignment="1">
      <alignment horizontal="center"/>
    </xf>
    <xf numFmtId="0" fontId="101" fillId="0" borderId="46" xfId="0" applyFont="1" applyBorder="1" applyAlignment="1">
      <alignment horizontal="center"/>
    </xf>
    <xf numFmtId="0" fontId="98" fillId="0" borderId="11" xfId="0" applyFont="1" applyBorder="1" applyAlignment="1">
      <alignment horizontal="center"/>
    </xf>
    <xf numFmtId="0" fontId="17" fillId="0" borderId="68" xfId="0" applyFont="1" applyBorder="1" applyAlignment="1">
      <alignment horizontal="center" wrapText="1"/>
    </xf>
    <xf numFmtId="0" fontId="98" fillId="0" borderId="40" xfId="0" applyFont="1" applyBorder="1" applyAlignment="1">
      <alignment horizontal="center"/>
    </xf>
    <xf numFmtId="2" fontId="98" fillId="0" borderId="70" xfId="0" applyNumberFormat="1" applyFont="1" applyBorder="1" applyAlignment="1">
      <alignment horizontal="center"/>
    </xf>
    <xf numFmtId="0" fontId="98" fillId="4" borderId="8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0" borderId="3" xfId="0" applyFont="1" applyBorder="1" applyAlignment="1">
      <alignment vertical="top"/>
    </xf>
    <xf numFmtId="0" fontId="98" fillId="0" borderId="3" xfId="0" applyFont="1" applyBorder="1" applyAlignment="1">
      <alignment horizontal="center" vertical="top"/>
    </xf>
    <xf numFmtId="49" fontId="49" fillId="5" borderId="3" xfId="0" applyNumberFormat="1" applyFont="1" applyFill="1" applyBorder="1" applyAlignment="1">
      <alignment horizontal="left" vertical="top"/>
    </xf>
    <xf numFmtId="4" fontId="49" fillId="3" borderId="3" xfId="0" applyNumberFormat="1" applyFont="1" applyFill="1" applyBorder="1" applyAlignment="1">
      <alignment horizontal="right" vertical="top"/>
    </xf>
    <xf numFmtId="11" fontId="113" fillId="0" borderId="3" xfId="0" applyNumberFormat="1" applyFont="1" applyBorder="1" applyAlignment="1">
      <alignment vertical="top"/>
    </xf>
    <xf numFmtId="170" fontId="98" fillId="5" borderId="3" xfId="0" applyNumberFormat="1" applyFont="1" applyFill="1" applyBorder="1" applyAlignment="1">
      <alignment vertical="top"/>
    </xf>
    <xf numFmtId="0" fontId="113" fillId="0" borderId="3" xfId="0" applyFont="1" applyBorder="1" applyAlignment="1">
      <alignment vertical="top"/>
    </xf>
    <xf numFmtId="0" fontId="98" fillId="5" borderId="3" xfId="0" applyFont="1" applyFill="1" applyBorder="1" applyAlignment="1">
      <alignment vertical="top"/>
    </xf>
    <xf numFmtId="164" fontId="113" fillId="0" borderId="3" xfId="0" applyNumberFormat="1" applyFont="1" applyBorder="1" applyAlignment="1">
      <alignment vertical="top"/>
    </xf>
    <xf numFmtId="168" fontId="49" fillId="3" borderId="3" xfId="0" applyNumberFormat="1" applyFont="1" applyFill="1" applyBorder="1" applyAlignment="1">
      <alignment horizontal="right" vertical="top"/>
    </xf>
    <xf numFmtId="11" fontId="113" fillId="0" borderId="0" xfId="0" applyNumberFormat="1" applyFont="1" applyAlignment="1">
      <alignment vertical="top"/>
    </xf>
    <xf numFmtId="0" fontId="113" fillId="0" borderId="0" xfId="0" applyFont="1" applyAlignment="1">
      <alignment vertical="top"/>
    </xf>
    <xf numFmtId="3" fontId="49" fillId="3" borderId="3" xfId="0" applyNumberFormat="1" applyFont="1" applyFill="1" applyBorder="1" applyAlignment="1">
      <alignment horizontal="right" vertical="top"/>
    </xf>
    <xf numFmtId="0" fontId="4" fillId="0" borderId="0" xfId="0" applyFont="1"/>
    <xf numFmtId="0" fontId="98" fillId="0" borderId="0" xfId="0" applyFont="1" applyAlignment="1">
      <alignment horizontal="center"/>
    </xf>
    <xf numFmtId="166" fontId="98" fillId="2" borderId="0" xfId="0" applyNumberFormat="1" applyFont="1" applyFill="1" applyAlignment="1">
      <alignment horizontal="center"/>
    </xf>
    <xf numFmtId="168" fontId="98" fillId="2" borderId="0" xfId="0" applyNumberFormat="1" applyFont="1" applyFill="1" applyAlignment="1">
      <alignment horizontal="center"/>
    </xf>
    <xf numFmtId="182" fontId="98" fillId="0" borderId="0" xfId="0" applyNumberFormat="1" applyFont="1" applyAlignment="1">
      <alignment horizontal="center"/>
    </xf>
    <xf numFmtId="193" fontId="49" fillId="3" borderId="3" xfId="0" applyNumberFormat="1" applyFont="1" applyFill="1" applyBorder="1" applyAlignment="1">
      <alignment horizontal="right" vertical="top"/>
    </xf>
    <xf numFmtId="182" fontId="113" fillId="0" borderId="3" xfId="0" applyNumberFormat="1" applyFont="1" applyBorder="1" applyAlignment="1">
      <alignment vertical="top"/>
    </xf>
    <xf numFmtId="3" fontId="114" fillId="3" borderId="3" xfId="0" applyNumberFormat="1" applyFont="1" applyFill="1" applyBorder="1" applyAlignment="1">
      <alignment horizontal="right" vertical="top"/>
    </xf>
    <xf numFmtId="0" fontId="98" fillId="0" borderId="0" xfId="0" applyFont="1" applyProtection="1">
      <protection locked="0"/>
    </xf>
    <xf numFmtId="0" fontId="98" fillId="4" borderId="3" xfId="0" applyFont="1" applyFill="1" applyBorder="1" applyAlignment="1">
      <alignment horizontal="center" vertical="center" wrapText="1"/>
    </xf>
    <xf numFmtId="0" fontId="98" fillId="4" borderId="1" xfId="0" applyFont="1" applyFill="1" applyBorder="1"/>
    <xf numFmtId="0" fontId="98" fillId="4" borderId="9" xfId="0" applyFont="1" applyFill="1" applyBorder="1" applyAlignment="1">
      <alignment horizontal="center"/>
    </xf>
    <xf numFmtId="0" fontId="98" fillId="4" borderId="10" xfId="0" applyFont="1" applyFill="1" applyBorder="1" applyAlignment="1">
      <alignment horizontal="center" vertical="center"/>
    </xf>
    <xf numFmtId="0" fontId="98" fillId="4" borderId="1" xfId="0" applyFont="1" applyFill="1" applyBorder="1" applyAlignment="1">
      <alignment horizontal="center"/>
    </xf>
    <xf numFmtId="0" fontId="98" fillId="4" borderId="0" xfId="0" applyFont="1" applyFill="1"/>
    <xf numFmtId="0" fontId="98" fillId="0" borderId="3" xfId="0" applyFont="1" applyBorder="1" applyAlignment="1">
      <alignment vertical="center"/>
    </xf>
    <xf numFmtId="0" fontId="98" fillId="0" borderId="1" xfId="0" applyFont="1" applyBorder="1" applyAlignment="1">
      <alignment horizontal="center" vertical="top"/>
    </xf>
    <xf numFmtId="0" fontId="98" fillId="0" borderId="0" xfId="0" applyFont="1" applyAlignment="1">
      <alignment horizontal="center" vertical="top"/>
    </xf>
    <xf numFmtId="0" fontId="98" fillId="0" borderId="12" xfId="0" applyFont="1" applyBorder="1" applyAlignment="1">
      <alignment vertical="center"/>
    </xf>
    <xf numFmtId="0" fontId="98" fillId="0" borderId="12" xfId="0" applyFont="1" applyBorder="1" applyAlignment="1">
      <alignment vertical="center" wrapText="1"/>
    </xf>
    <xf numFmtId="0" fontId="98" fillId="0" borderId="3" xfId="0" applyFont="1" applyBorder="1" applyAlignment="1">
      <alignment horizontal="center" vertical="center"/>
    </xf>
    <xf numFmtId="164" fontId="113" fillId="0" borderId="1" xfId="0" applyNumberFormat="1" applyFont="1" applyBorder="1" applyAlignment="1">
      <alignment horizontal="center" vertical="top"/>
    </xf>
    <xf numFmtId="0" fontId="98" fillId="0" borderId="3" xfId="0" applyFont="1" applyBorder="1" applyAlignment="1">
      <alignment vertical="center" wrapText="1"/>
    </xf>
    <xf numFmtId="0" fontId="113" fillId="0" borderId="0" xfId="0" applyFont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98" fillId="0" borderId="1" xfId="0" applyFont="1" applyBorder="1" applyAlignment="1">
      <alignment vertical="center"/>
    </xf>
    <xf numFmtId="164" fontId="113" fillId="0" borderId="0" xfId="0" applyNumberFormat="1" applyFont="1" applyAlignment="1">
      <alignment vertical="top"/>
    </xf>
    <xf numFmtId="0" fontId="17" fillId="0" borderId="0" xfId="1"/>
    <xf numFmtId="0" fontId="17" fillId="0" borderId="3" xfId="1" applyBorder="1"/>
    <xf numFmtId="167" fontId="17" fillId="0" borderId="3" xfId="1" applyNumberFormat="1" applyBorder="1"/>
    <xf numFmtId="167" fontId="17" fillId="8" borderId="3" xfId="1" applyNumberFormat="1" applyFill="1" applyBorder="1"/>
    <xf numFmtId="2" fontId="17" fillId="0" borderId="3" xfId="1" applyNumberFormat="1" applyBorder="1" applyAlignment="1">
      <alignment horizontal="center"/>
    </xf>
    <xf numFmtId="3" fontId="17" fillId="0" borderId="3" xfId="1" applyNumberFormat="1" applyBorder="1" applyAlignment="1">
      <alignment horizontal="center"/>
    </xf>
    <xf numFmtId="2" fontId="17" fillId="0" borderId="3" xfId="1" applyNumberFormat="1" applyBorder="1"/>
    <xf numFmtId="2" fontId="17" fillId="8" borderId="3" xfId="1" applyNumberFormat="1" applyFill="1" applyBorder="1"/>
    <xf numFmtId="3" fontId="17" fillId="0" borderId="3" xfId="1" applyNumberFormat="1" applyBorder="1"/>
    <xf numFmtId="1" fontId="17" fillId="0" borderId="3" xfId="1" applyNumberFormat="1" applyBorder="1"/>
    <xf numFmtId="1" fontId="17" fillId="8" borderId="3" xfId="1" applyNumberFormat="1" applyFill="1" applyBorder="1"/>
    <xf numFmtId="0" fontId="98" fillId="13" borderId="13" xfId="0" applyFont="1" applyFill="1" applyBorder="1" applyAlignment="1">
      <alignment horizontal="center" vertical="center"/>
    </xf>
    <xf numFmtId="0" fontId="16" fillId="13" borderId="31" xfId="0" applyFont="1" applyFill="1" applyBorder="1" applyAlignment="1">
      <alignment vertical="center"/>
    </xf>
    <xf numFmtId="0" fontId="20" fillId="13" borderId="31" xfId="0" applyFont="1" applyFill="1" applyBorder="1" applyAlignment="1">
      <alignment vertical="center"/>
    </xf>
    <xf numFmtId="0" fontId="4" fillId="13" borderId="13" xfId="0" applyFont="1" applyFill="1" applyBorder="1" applyAlignment="1">
      <alignment horizontal="center" vertical="center"/>
    </xf>
    <xf numFmtId="0" fontId="4" fillId="13" borderId="0" xfId="0" applyFont="1" applyFill="1" applyAlignment="1">
      <alignment vertical="center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vertical="center"/>
    </xf>
    <xf numFmtId="0" fontId="21" fillId="14" borderId="3" xfId="0" applyFont="1" applyFill="1" applyBorder="1" applyAlignment="1">
      <alignment horizontal="center" vertical="center"/>
    </xf>
    <xf numFmtId="0" fontId="4" fillId="14" borderId="3" xfId="0" applyFont="1" applyFill="1" applyBorder="1" applyAlignment="1" applyProtection="1">
      <alignment horizontal="center" vertical="center"/>
      <protection locked="0"/>
    </xf>
    <xf numFmtId="191" fontId="98" fillId="14" borderId="0" xfId="0" applyNumberFormat="1" applyFont="1" applyFill="1" applyAlignment="1">
      <alignment horizontal="center" vertical="center"/>
    </xf>
    <xf numFmtId="194" fontId="98" fillId="14" borderId="0" xfId="0" applyNumberFormat="1" applyFont="1" applyFill="1" applyAlignment="1">
      <alignment horizontal="center" vertical="center"/>
    </xf>
    <xf numFmtId="0" fontId="36" fillId="12" borderId="13" xfId="0" applyFont="1" applyFill="1" applyBorder="1" applyAlignment="1">
      <alignment vertical="center"/>
    </xf>
    <xf numFmtId="0" fontId="98" fillId="12" borderId="0" xfId="0" applyFont="1" applyFill="1" applyAlignment="1">
      <alignment vertical="center"/>
    </xf>
    <xf numFmtId="169" fontId="98" fillId="5" borderId="3" xfId="0" applyNumberFormat="1" applyFont="1" applyFill="1" applyBorder="1" applyAlignment="1">
      <alignment horizontal="center" vertical="top"/>
    </xf>
    <xf numFmtId="0" fontId="16" fillId="14" borderId="75" xfId="0" applyFont="1" applyFill="1" applyBorder="1" applyAlignment="1">
      <alignment horizontal="right" vertical="center"/>
    </xf>
    <xf numFmtId="182" fontId="68" fillId="14" borderId="26" xfId="0" applyNumberFormat="1" applyFont="1" applyFill="1" applyBorder="1" applyAlignment="1">
      <alignment vertical="center"/>
    </xf>
    <xf numFmtId="0" fontId="66" fillId="14" borderId="27" xfId="0" applyFont="1" applyFill="1" applyBorder="1" applyAlignment="1">
      <alignment horizontal="center" vertical="center"/>
    </xf>
    <xf numFmtId="0" fontId="16" fillId="14" borderId="29" xfId="0" applyFont="1" applyFill="1" applyBorder="1" applyAlignment="1">
      <alignment horizontal="right" vertical="center"/>
    </xf>
    <xf numFmtId="0" fontId="68" fillId="14" borderId="62" xfId="0" applyFont="1" applyFill="1" applyBorder="1" applyAlignment="1">
      <alignment vertical="center"/>
    </xf>
    <xf numFmtId="0" fontId="81" fillId="14" borderId="26" xfId="0" applyFont="1" applyFill="1" applyBorder="1" applyAlignment="1">
      <alignment vertical="center"/>
    </xf>
    <xf numFmtId="0" fontId="116" fillId="14" borderId="27" xfId="0" applyFont="1" applyFill="1" applyBorder="1" applyAlignment="1">
      <alignment horizontal="center" vertical="center"/>
    </xf>
    <xf numFmtId="0" fontId="81" fillId="14" borderId="62" xfId="0" applyFont="1" applyFill="1" applyBorder="1" applyAlignment="1">
      <alignment vertical="center"/>
    </xf>
    <xf numFmtId="0" fontId="116" fillId="14" borderId="30" xfId="0" applyFont="1" applyFill="1" applyBorder="1" applyAlignment="1">
      <alignment horizontal="center" vertical="center"/>
    </xf>
    <xf numFmtId="0" fontId="108" fillId="14" borderId="3" xfId="0" applyFont="1" applyFill="1" applyBorder="1" applyAlignment="1">
      <alignment horizontal="right"/>
    </xf>
    <xf numFmtId="0" fontId="16" fillId="14" borderId="26" xfId="0" applyFont="1" applyFill="1" applyBorder="1" applyAlignment="1">
      <alignment horizontal="right" vertical="center"/>
    </xf>
    <xf numFmtId="0" fontId="81" fillId="14" borderId="26" xfId="0" applyFont="1" applyFill="1" applyBorder="1" applyAlignment="1">
      <alignment horizontal="center" vertical="center"/>
    </xf>
    <xf numFmtId="0" fontId="98" fillId="0" borderId="1" xfId="0" applyFont="1" applyBorder="1" applyAlignment="1">
      <alignment vertical="top"/>
    </xf>
    <xf numFmtId="0" fontId="98" fillId="0" borderId="12" xfId="0" applyFont="1" applyBorder="1" applyAlignment="1">
      <alignment vertical="top"/>
    </xf>
    <xf numFmtId="49" fontId="49" fillId="5" borderId="12" xfId="0" applyNumberFormat="1" applyFont="1" applyFill="1" applyBorder="1" applyAlignment="1">
      <alignment horizontal="left" vertical="top"/>
    </xf>
    <xf numFmtId="0" fontId="98" fillId="0" borderId="12" xfId="0" applyFont="1" applyBorder="1" applyAlignment="1">
      <alignment horizontal="center" vertical="top"/>
    </xf>
    <xf numFmtId="3" fontId="49" fillId="3" borderId="12" xfId="0" applyNumberFormat="1" applyFont="1" applyFill="1" applyBorder="1" applyAlignment="1">
      <alignment horizontal="right" vertical="top"/>
    </xf>
    <xf numFmtId="0" fontId="113" fillId="0" borderId="12" xfId="0" applyFont="1" applyBorder="1" applyAlignment="1">
      <alignment vertical="top"/>
    </xf>
    <xf numFmtId="11" fontId="113" fillId="0" borderId="12" xfId="0" applyNumberFormat="1" applyFont="1" applyBorder="1" applyAlignment="1">
      <alignment vertical="top"/>
    </xf>
    <xf numFmtId="0" fontId="98" fillId="5" borderId="12" xfId="0" applyFont="1" applyFill="1" applyBorder="1" applyAlignment="1">
      <alignment vertical="top"/>
    </xf>
    <xf numFmtId="164" fontId="113" fillId="0" borderId="12" xfId="0" applyNumberFormat="1" applyFont="1" applyBorder="1" applyAlignment="1">
      <alignment vertical="top"/>
    </xf>
    <xf numFmtId="0" fontId="98" fillId="0" borderId="4" xfId="0" applyFont="1" applyBorder="1" applyAlignment="1">
      <alignment vertical="top"/>
    </xf>
    <xf numFmtId="0" fontId="98" fillId="14" borderId="0" xfId="0" applyFont="1" applyFill="1"/>
    <xf numFmtId="0" fontId="117" fillId="14" borderId="0" xfId="0" applyFont="1" applyFill="1" applyAlignment="1">
      <alignment horizontal="center" wrapText="1"/>
    </xf>
    <xf numFmtId="0" fontId="118" fillId="7" borderId="27" xfId="0" applyFont="1" applyFill="1" applyBorder="1"/>
    <xf numFmtId="0" fontId="118" fillId="7" borderId="28" xfId="0" applyFont="1" applyFill="1" applyBorder="1"/>
    <xf numFmtId="0" fontId="72" fillId="7" borderId="29" xfId="0" applyFont="1" applyFill="1" applyBorder="1" applyAlignment="1">
      <alignment horizontal="right" vertical="top" wrapText="1"/>
    </xf>
    <xf numFmtId="0" fontId="20" fillId="17" borderId="0" xfId="0" applyFont="1" applyFill="1" applyAlignment="1">
      <alignment horizontal="center"/>
    </xf>
    <xf numFmtId="0" fontId="16" fillId="17" borderId="7" xfId="0" applyFont="1" applyFill="1" applyBorder="1" applyAlignment="1">
      <alignment horizontal="center" wrapText="1"/>
    </xf>
    <xf numFmtId="0" fontId="64" fillId="17" borderId="3" xfId="0" applyFont="1" applyFill="1" applyBorder="1" applyAlignment="1">
      <alignment horizontal="center"/>
    </xf>
    <xf numFmtId="1" fontId="23" fillId="17" borderId="3" xfId="0" applyNumberFormat="1" applyFont="1" applyFill="1" applyBorder="1" applyAlignment="1">
      <alignment horizontal="center"/>
    </xf>
    <xf numFmtId="0" fontId="98" fillId="3" borderId="12" xfId="0" applyFont="1" applyFill="1" applyBorder="1" applyAlignment="1">
      <alignment horizontal="center"/>
    </xf>
    <xf numFmtId="0" fontId="23" fillId="3" borderId="0" xfId="0" applyFont="1" applyFill="1"/>
    <xf numFmtId="171" fontId="98" fillId="3" borderId="0" xfId="0" applyNumberFormat="1" applyFont="1" applyFill="1"/>
    <xf numFmtId="175" fontId="98" fillId="3" borderId="0" xfId="0" applyNumberFormat="1" applyFont="1" applyFill="1"/>
    <xf numFmtId="0" fontId="69" fillId="11" borderId="4" xfId="0" applyFont="1" applyFill="1" applyBorder="1" applyAlignment="1">
      <alignment horizontal="left" vertical="center"/>
    </xf>
    <xf numFmtId="2" fontId="23" fillId="11" borderId="5" xfId="0" applyNumberFormat="1" applyFont="1" applyFill="1" applyBorder="1" applyAlignment="1">
      <alignment horizontal="center" vertical="center"/>
    </xf>
    <xf numFmtId="183" fontId="23" fillId="11" borderId="5" xfId="0" applyNumberFormat="1" applyFont="1" applyFill="1" applyBorder="1" applyAlignment="1">
      <alignment horizontal="center" vertical="center"/>
    </xf>
    <xf numFmtId="184" fontId="57" fillId="11" borderId="5" xfId="0" applyNumberFormat="1" applyFont="1" applyFill="1" applyBorder="1" applyAlignment="1">
      <alignment horizontal="center" vertical="center"/>
    </xf>
    <xf numFmtId="172" fontId="17" fillId="11" borderId="12" xfId="0" applyNumberFormat="1" applyFont="1" applyFill="1" applyBorder="1" applyAlignment="1">
      <alignment horizontal="center" vertical="center"/>
    </xf>
    <xf numFmtId="0" fontId="72" fillId="11" borderId="6" xfId="0" applyFont="1" applyFill="1" applyBorder="1" applyAlignment="1">
      <alignment horizontal="left" vertical="center"/>
    </xf>
    <xf numFmtId="0" fontId="17" fillId="11" borderId="8" xfId="0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 vertical="center"/>
    </xf>
    <xf numFmtId="176" fontId="17" fillId="11" borderId="8" xfId="0" applyNumberFormat="1" applyFont="1" applyFill="1" applyBorder="1" applyAlignment="1">
      <alignment horizontal="center" vertical="center"/>
    </xf>
    <xf numFmtId="176" fontId="21" fillId="11" borderId="11" xfId="0" applyNumberFormat="1" applyFont="1" applyFill="1" applyBorder="1" applyAlignment="1">
      <alignment horizontal="center" vertical="center"/>
    </xf>
    <xf numFmtId="171" fontId="23" fillId="11" borderId="5" xfId="0" applyNumberFormat="1" applyFont="1" applyFill="1" applyBorder="1" applyAlignment="1">
      <alignment horizontal="center" vertical="center"/>
    </xf>
    <xf numFmtId="167" fontId="21" fillId="11" borderId="5" xfId="0" applyNumberFormat="1" applyFont="1" applyFill="1" applyBorder="1" applyAlignment="1">
      <alignment horizontal="center" vertical="center"/>
    </xf>
    <xf numFmtId="11" fontId="23" fillId="11" borderId="5" xfId="0" applyNumberFormat="1" applyFont="1" applyFill="1" applyBorder="1" applyAlignment="1">
      <alignment horizontal="center" vertical="center"/>
    </xf>
    <xf numFmtId="170" fontId="17" fillId="11" borderId="12" xfId="0" applyNumberFormat="1" applyFont="1" applyFill="1" applyBorder="1" applyAlignment="1">
      <alignment horizontal="center" vertical="center"/>
    </xf>
    <xf numFmtId="170" fontId="17" fillId="11" borderId="8" xfId="0" applyNumberFormat="1" applyFont="1" applyFill="1" applyBorder="1" applyAlignment="1">
      <alignment horizontal="center" vertical="center"/>
    </xf>
    <xf numFmtId="0" fontId="80" fillId="11" borderId="6" xfId="0" applyFont="1" applyFill="1" applyBorder="1" applyAlignment="1">
      <alignment horizontal="left" vertical="center"/>
    </xf>
    <xf numFmtId="0" fontId="73" fillId="11" borderId="4" xfId="0" applyFont="1" applyFill="1" applyBorder="1"/>
    <xf numFmtId="2" fontId="23" fillId="11" borderId="5" xfId="0" applyNumberFormat="1" applyFont="1" applyFill="1" applyBorder="1"/>
    <xf numFmtId="167" fontId="23" fillId="11" borderId="3" xfId="0" applyNumberFormat="1" applyFont="1" applyFill="1" applyBorder="1"/>
    <xf numFmtId="11" fontId="23" fillId="11" borderId="3" xfId="0" applyNumberFormat="1" applyFont="1" applyFill="1" applyBorder="1"/>
    <xf numFmtId="0" fontId="23" fillId="11" borderId="12" xfId="0" applyFont="1" applyFill="1" applyBorder="1"/>
    <xf numFmtId="0" fontId="73" fillId="11" borderId="6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vertical="center"/>
    </xf>
    <xf numFmtId="0" fontId="23" fillId="11" borderId="11" xfId="0" applyFont="1" applyFill="1" applyBorder="1"/>
    <xf numFmtId="0" fontId="73" fillId="11" borderId="4" xfId="0" applyFont="1" applyFill="1" applyBorder="1" applyAlignment="1">
      <alignment horizontal="left" vertical="center"/>
    </xf>
    <xf numFmtId="177" fontId="17" fillId="11" borderId="5" xfId="0" applyNumberFormat="1" applyFont="1" applyFill="1" applyBorder="1" applyAlignment="1">
      <alignment horizontal="center" vertical="center"/>
    </xf>
    <xf numFmtId="11" fontId="49" fillId="11" borderId="5" xfId="0" applyNumberFormat="1" applyFont="1" applyFill="1" applyBorder="1" applyAlignment="1">
      <alignment horizontal="center" vertical="center"/>
    </xf>
    <xf numFmtId="177" fontId="21" fillId="11" borderId="12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left" vertical="center"/>
    </xf>
    <xf numFmtId="0" fontId="107" fillId="11" borderId="4" xfId="0" applyFont="1" applyFill="1" applyBorder="1" applyAlignment="1">
      <alignment horizontal="left" vertical="center"/>
    </xf>
    <xf numFmtId="179" fontId="17" fillId="11" borderId="5" xfId="0" applyNumberFormat="1" applyFont="1" applyFill="1" applyBorder="1" applyAlignment="1">
      <alignment horizontal="center" vertical="center"/>
    </xf>
    <xf numFmtId="186" fontId="21" fillId="11" borderId="5" xfId="0" applyNumberFormat="1" applyFont="1" applyFill="1" applyBorder="1" applyAlignment="1">
      <alignment horizontal="center" vertical="center"/>
    </xf>
    <xf numFmtId="178" fontId="21" fillId="11" borderId="12" xfId="0" applyNumberFormat="1" applyFont="1" applyFill="1" applyBorder="1" applyAlignment="1">
      <alignment horizontal="center" vertical="center"/>
    </xf>
    <xf numFmtId="0" fontId="78" fillId="11" borderId="6" xfId="0" applyFont="1" applyFill="1" applyBorder="1" applyAlignment="1">
      <alignment horizontal="left" vertical="center"/>
    </xf>
    <xf numFmtId="171" fontId="17" fillId="11" borderId="8" xfId="0" applyNumberFormat="1" applyFont="1" applyFill="1" applyBorder="1" applyAlignment="1">
      <alignment horizontal="center" vertical="center"/>
    </xf>
    <xf numFmtId="0" fontId="77" fillId="11" borderId="4" xfId="0" applyFont="1" applyFill="1" applyBorder="1" applyAlignment="1">
      <alignment horizontal="left" vertical="center"/>
    </xf>
    <xf numFmtId="179" fontId="49" fillId="11" borderId="5" xfId="0" applyNumberFormat="1" applyFont="1" applyFill="1" applyBorder="1" applyAlignment="1">
      <alignment horizontal="center" vertical="center"/>
    </xf>
    <xf numFmtId="0" fontId="17" fillId="11" borderId="14" xfId="0" applyFont="1" applyFill="1" applyBorder="1" applyAlignment="1">
      <alignment horizontal="center" vertical="center"/>
    </xf>
    <xf numFmtId="0" fontId="21" fillId="11" borderId="11" xfId="0" applyFont="1" applyFill="1" applyBorder="1" applyAlignment="1">
      <alignment horizontal="center" vertical="center"/>
    </xf>
    <xf numFmtId="0" fontId="24" fillId="11" borderId="6" xfId="0" applyFont="1" applyFill="1" applyBorder="1" applyAlignment="1">
      <alignment horizontal="right" vertical="center"/>
    </xf>
    <xf numFmtId="172" fontId="22" fillId="11" borderId="8" xfId="0" applyNumberFormat="1" applyFont="1" applyFill="1" applyBorder="1" applyAlignment="1">
      <alignment horizontal="center" vertical="center"/>
    </xf>
    <xf numFmtId="0" fontId="16" fillId="11" borderId="6" xfId="0" applyFont="1" applyFill="1" applyBorder="1" applyAlignment="1">
      <alignment horizontal="center"/>
    </xf>
    <xf numFmtId="0" fontId="17" fillId="11" borderId="7" xfId="0" applyFont="1" applyFill="1" applyBorder="1" applyAlignment="1">
      <alignment horizontal="center"/>
    </xf>
    <xf numFmtId="0" fontId="21" fillId="11" borderId="76" xfId="0" applyFont="1" applyFill="1" applyBorder="1"/>
    <xf numFmtId="187" fontId="21" fillId="11" borderId="8" xfId="0" applyNumberFormat="1" applyFont="1" applyFill="1" applyBorder="1" applyAlignment="1">
      <alignment horizontal="center" vertical="center"/>
    </xf>
    <xf numFmtId="2" fontId="21" fillId="11" borderId="5" xfId="0" applyNumberFormat="1" applyFont="1" applyFill="1" applyBorder="1" applyAlignment="1">
      <alignment horizontal="center" vertical="center"/>
    </xf>
    <xf numFmtId="3" fontId="23" fillId="11" borderId="12" xfId="0" applyNumberFormat="1" applyFont="1" applyFill="1" applyBorder="1" applyAlignment="1">
      <alignment horizontal="center" vertical="center"/>
    </xf>
    <xf numFmtId="0" fontId="98" fillId="11" borderId="0" xfId="0" applyFont="1" applyFill="1"/>
    <xf numFmtId="0" fontId="60" fillId="11" borderId="0" xfId="0" applyFont="1" applyFill="1" applyAlignment="1">
      <alignment horizontal="right" vertical="center"/>
    </xf>
    <xf numFmtId="0" fontId="53" fillId="11" borderId="5" xfId="0" applyFont="1" applyFill="1" applyBorder="1" applyAlignment="1">
      <alignment vertical="center"/>
    </xf>
    <xf numFmtId="1" fontId="21" fillId="11" borderId="10" xfId="0" applyNumberFormat="1" applyFont="1" applyFill="1" applyBorder="1" applyAlignment="1">
      <alignment horizontal="center" vertical="center"/>
    </xf>
    <xf numFmtId="1" fontId="23" fillId="11" borderId="3" xfId="0" applyNumberFormat="1" applyFont="1" applyFill="1" applyBorder="1" applyAlignment="1">
      <alignment horizontal="center" vertical="center"/>
    </xf>
    <xf numFmtId="0" fontId="17" fillId="11" borderId="50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98" fillId="11" borderId="51" xfId="0" applyFont="1" applyFill="1" applyBorder="1" applyAlignment="1">
      <alignment vertical="top" wrapText="1"/>
    </xf>
    <xf numFmtId="0" fontId="17" fillId="11" borderId="21" xfId="0" applyFont="1" applyFill="1" applyBorder="1" applyAlignment="1">
      <alignment horizontal="center" vertical="top" wrapText="1"/>
    </xf>
    <xf numFmtId="0" fontId="17" fillId="11" borderId="52" xfId="0" applyFont="1" applyFill="1" applyBorder="1" applyAlignment="1">
      <alignment horizontal="center" vertical="top" wrapText="1"/>
    </xf>
    <xf numFmtId="0" fontId="17" fillId="11" borderId="53" xfId="0" applyFont="1" applyFill="1" applyBorder="1" applyAlignment="1">
      <alignment horizontal="center" vertical="top" wrapText="1"/>
    </xf>
    <xf numFmtId="0" fontId="17" fillId="11" borderId="54" xfId="0" applyFont="1" applyFill="1" applyBorder="1" applyAlignment="1">
      <alignment horizontal="center" vertical="top" wrapText="1"/>
    </xf>
    <xf numFmtId="0" fontId="17" fillId="11" borderId="55" xfId="0" applyFont="1" applyFill="1" applyBorder="1" applyAlignment="1">
      <alignment horizontal="center" vertical="top" wrapText="1"/>
    </xf>
    <xf numFmtId="0" fontId="17" fillId="11" borderId="56" xfId="0" applyFont="1" applyFill="1" applyBorder="1" applyAlignment="1">
      <alignment horizontal="center" vertical="top" wrapText="1"/>
    </xf>
    <xf numFmtId="0" fontId="17" fillId="11" borderId="57" xfId="0" applyFont="1" applyFill="1" applyBorder="1" applyAlignment="1">
      <alignment horizontal="center" vertical="top" wrapText="1"/>
    </xf>
    <xf numFmtId="0" fontId="98" fillId="14" borderId="3" xfId="0" applyFont="1" applyFill="1" applyBorder="1"/>
    <xf numFmtId="0" fontId="98" fillId="14" borderId="2" xfId="0" applyFont="1" applyFill="1" applyBorder="1"/>
    <xf numFmtId="0" fontId="98" fillId="14" borderId="3" xfId="0" applyFont="1" applyFill="1" applyBorder="1" applyAlignment="1">
      <alignment horizontal="center"/>
    </xf>
    <xf numFmtId="177" fontId="98" fillId="14" borderId="3" xfId="0" applyNumberFormat="1" applyFont="1" applyFill="1" applyBorder="1"/>
    <xf numFmtId="178" fontId="98" fillId="14" borderId="3" xfId="0" applyNumberFormat="1" applyFont="1" applyFill="1" applyBorder="1"/>
    <xf numFmtId="179" fontId="98" fillId="14" borderId="3" xfId="0" applyNumberFormat="1" applyFont="1" applyFill="1" applyBorder="1"/>
    <xf numFmtId="11" fontId="98" fillId="14" borderId="3" xfId="0" applyNumberFormat="1" applyFont="1" applyFill="1" applyBorder="1"/>
    <xf numFmtId="0" fontId="98" fillId="14" borderId="12" xfId="0" applyFont="1" applyFill="1" applyBorder="1"/>
    <xf numFmtId="179" fontId="98" fillId="14" borderId="12" xfId="0" applyNumberFormat="1" applyFont="1" applyFill="1" applyBorder="1"/>
    <xf numFmtId="176" fontId="60" fillId="14" borderId="3" xfId="0" applyNumberFormat="1" applyFont="1" applyFill="1" applyBorder="1"/>
    <xf numFmtId="0" fontId="98" fillId="14" borderId="7" xfId="0" applyFont="1" applyFill="1" applyBorder="1"/>
    <xf numFmtId="0" fontId="98" fillId="14" borderId="4" xfId="0" applyFont="1" applyFill="1" applyBorder="1"/>
    <xf numFmtId="0" fontId="98" fillId="14" borderId="13" xfId="0" applyFont="1" applyFill="1" applyBorder="1"/>
    <xf numFmtId="0" fontId="98" fillId="14" borderId="1" xfId="0" applyFont="1" applyFill="1" applyBorder="1"/>
    <xf numFmtId="11" fontId="98" fillId="14" borderId="1" xfId="0" applyNumberFormat="1" applyFont="1" applyFill="1" applyBorder="1"/>
    <xf numFmtId="176" fontId="101" fillId="14" borderId="3" xfId="0" applyNumberFormat="1" applyFont="1" applyFill="1" applyBorder="1"/>
    <xf numFmtId="0" fontId="98" fillId="14" borderId="6" xfId="0" applyFont="1" applyFill="1" applyBorder="1"/>
    <xf numFmtId="175" fontId="98" fillId="14" borderId="10" xfId="0" applyNumberFormat="1" applyFont="1" applyFill="1" applyBorder="1"/>
    <xf numFmtId="0" fontId="98" fillId="14" borderId="11" xfId="0" applyFont="1" applyFill="1" applyBorder="1"/>
    <xf numFmtId="175" fontId="98" fillId="14" borderId="3" xfId="0" applyNumberFormat="1" applyFont="1" applyFill="1" applyBorder="1"/>
    <xf numFmtId="176" fontId="102" fillId="14" borderId="3" xfId="0" applyNumberFormat="1" applyFont="1" applyFill="1" applyBorder="1"/>
    <xf numFmtId="176" fontId="98" fillId="14" borderId="3" xfId="0" applyNumberFormat="1" applyFont="1" applyFill="1" applyBorder="1"/>
    <xf numFmtId="175" fontId="98" fillId="14" borderId="0" xfId="0" applyNumberFormat="1" applyFont="1" applyFill="1"/>
    <xf numFmtId="175" fontId="98" fillId="14" borderId="14" xfId="0" applyNumberFormat="1" applyFont="1" applyFill="1" applyBorder="1"/>
    <xf numFmtId="181" fontId="98" fillId="14" borderId="3" xfId="0" applyNumberFormat="1" applyFont="1" applyFill="1" applyBorder="1"/>
    <xf numFmtId="180" fontId="98" fillId="14" borderId="13" xfId="0" applyNumberFormat="1" applyFont="1" applyFill="1" applyBorder="1"/>
    <xf numFmtId="182" fontId="98" fillId="14" borderId="3" xfId="0" applyNumberFormat="1" applyFont="1" applyFill="1" applyBorder="1"/>
    <xf numFmtId="0" fontId="100" fillId="14" borderId="0" xfId="0" applyFont="1" applyFill="1"/>
    <xf numFmtId="0" fontId="98" fillId="14" borderId="0" xfId="0" applyFont="1" applyFill="1" applyAlignment="1">
      <alignment horizontal="center"/>
    </xf>
    <xf numFmtId="165" fontId="100" fillId="14" borderId="0" xfId="0" applyNumberFormat="1" applyFont="1" applyFill="1"/>
    <xf numFmtId="1" fontId="100" fillId="14" borderId="0" xfId="0" applyNumberFormat="1" applyFont="1" applyFill="1"/>
    <xf numFmtId="167" fontId="100" fillId="14" borderId="0" xfId="0" applyNumberFormat="1" applyFont="1" applyFill="1"/>
    <xf numFmtId="0" fontId="98" fillId="14" borderId="14" xfId="0" applyFont="1" applyFill="1" applyBorder="1" applyAlignment="1">
      <alignment horizontal="center"/>
    </xf>
    <xf numFmtId="2" fontId="100" fillId="14" borderId="0" xfId="0" applyNumberFormat="1" applyFont="1" applyFill="1"/>
    <xf numFmtId="165" fontId="49" fillId="14" borderId="0" xfId="0" applyNumberFormat="1" applyFont="1" applyFill="1"/>
    <xf numFmtId="167" fontId="100" fillId="14" borderId="7" xfId="0" applyNumberFormat="1" applyFont="1" applyFill="1" applyBorder="1"/>
    <xf numFmtId="1" fontId="98" fillId="14" borderId="3" xfId="0" applyNumberFormat="1" applyFont="1" applyFill="1" applyBorder="1"/>
    <xf numFmtId="176" fontId="98" fillId="14" borderId="1" xfId="0" applyNumberFormat="1" applyFont="1" applyFill="1" applyBorder="1"/>
    <xf numFmtId="167" fontId="98" fillId="14" borderId="1" xfId="0" applyNumberFormat="1" applyFont="1" applyFill="1" applyBorder="1"/>
    <xf numFmtId="171" fontId="98" fillId="14" borderId="3" xfId="0" applyNumberFormat="1" applyFont="1" applyFill="1" applyBorder="1"/>
    <xf numFmtId="172" fontId="98" fillId="14" borderId="3" xfId="0" applyNumberFormat="1" applyFont="1" applyFill="1" applyBorder="1"/>
    <xf numFmtId="172" fontId="100" fillId="14" borderId="0" xfId="0" applyNumberFormat="1" applyFont="1" applyFill="1"/>
    <xf numFmtId="11" fontId="23" fillId="14" borderId="0" xfId="0" applyNumberFormat="1" applyFont="1" applyFill="1"/>
    <xf numFmtId="0" fontId="49" fillId="14" borderId="0" xfId="0" applyFont="1" applyFill="1" applyAlignment="1">
      <alignment horizontal="justify"/>
    </xf>
    <xf numFmtId="2" fontId="53" fillId="14" borderId="59" xfId="0" applyNumberFormat="1" applyFont="1" applyFill="1" applyBorder="1" applyAlignment="1">
      <alignment horizontal="right" vertical="center"/>
    </xf>
    <xf numFmtId="0" fontId="21" fillId="14" borderId="60" xfId="0" applyFont="1" applyFill="1" applyBorder="1" applyAlignment="1">
      <alignment horizontal="center" vertical="center"/>
    </xf>
    <xf numFmtId="2" fontId="21" fillId="14" borderId="61" xfId="0" applyNumberFormat="1" applyFont="1" applyFill="1" applyBorder="1" applyAlignment="1">
      <alignment vertical="center"/>
    </xf>
    <xf numFmtId="2" fontId="21" fillId="14" borderId="29" xfId="0" applyNumberFormat="1" applyFont="1" applyFill="1" applyBorder="1" applyAlignment="1">
      <alignment horizontal="right" vertical="center"/>
    </xf>
    <xf numFmtId="182" fontId="53" fillId="14" borderId="62" xfId="0" applyNumberFormat="1" applyFont="1" applyFill="1" applyBorder="1" applyAlignment="1">
      <alignment horizontal="center" vertical="center"/>
    </xf>
    <xf numFmtId="2" fontId="21" fillId="14" borderId="30" xfId="0" applyNumberFormat="1" applyFont="1" applyFill="1" applyBorder="1" applyAlignment="1">
      <alignment vertical="center"/>
    </xf>
    <xf numFmtId="167" fontId="4" fillId="14" borderId="3" xfId="1" applyNumberFormat="1" applyFont="1" applyFill="1" applyBorder="1" applyAlignment="1">
      <alignment horizontal="right"/>
    </xf>
    <xf numFmtId="167" fontId="4" fillId="14" borderId="3" xfId="1" applyNumberFormat="1" applyFont="1" applyFill="1" applyBorder="1" applyAlignment="1">
      <alignment horizontal="center"/>
    </xf>
    <xf numFmtId="167" fontId="4" fillId="14" borderId="3" xfId="1" applyNumberFormat="1" applyFont="1" applyFill="1" applyBorder="1"/>
    <xf numFmtId="167" fontId="4" fillId="14" borderId="3" xfId="1" quotePrefix="1" applyNumberFormat="1" applyFont="1" applyFill="1" applyBorder="1" applyAlignment="1">
      <alignment horizontal="center"/>
    </xf>
    <xf numFmtId="0" fontId="98" fillId="14" borderId="0" xfId="0" applyFont="1" applyFill="1" applyProtection="1">
      <protection locked="0"/>
    </xf>
    <xf numFmtId="0" fontId="17" fillId="14" borderId="3" xfId="1" applyFill="1" applyBorder="1" applyAlignment="1">
      <alignment horizontal="center"/>
    </xf>
    <xf numFmtId="0" fontId="43" fillId="3" borderId="3" xfId="1" applyFont="1" applyFill="1" applyBorder="1"/>
    <xf numFmtId="0" fontId="43" fillId="0" borderId="3" xfId="1" applyFont="1" applyBorder="1"/>
    <xf numFmtId="0" fontId="115" fillId="0" borderId="0" xfId="0" applyFont="1"/>
    <xf numFmtId="0" fontId="43" fillId="0" borderId="0" xfId="1" applyFont="1"/>
    <xf numFmtId="0" fontId="91" fillId="0" borderId="3" xfId="1" applyFont="1" applyBorder="1" applyAlignment="1">
      <alignment horizontal="center" vertical="center" wrapText="1"/>
    </xf>
    <xf numFmtId="0" fontId="91" fillId="0" borderId="0" xfId="1" applyFont="1"/>
    <xf numFmtId="1" fontId="43" fillId="0" borderId="0" xfId="1" applyNumberFormat="1" applyFont="1"/>
    <xf numFmtId="3" fontId="43" fillId="0" borderId="3" xfId="1" applyNumberFormat="1" applyFont="1" applyBorder="1"/>
    <xf numFmtId="3" fontId="43" fillId="0" borderId="3" xfId="1" applyNumberFormat="1" applyFont="1" applyBorder="1" applyAlignment="1">
      <alignment horizontal="center"/>
    </xf>
    <xf numFmtId="0" fontId="4" fillId="14" borderId="3" xfId="1" quotePrefix="1" applyFont="1" applyFill="1" applyBorder="1" applyAlignment="1">
      <alignment horizontal="right"/>
    </xf>
    <xf numFmtId="0" fontId="17" fillId="14" borderId="1" xfId="1" applyFill="1" applyBorder="1" applyAlignment="1">
      <alignment horizontal="center" vertical="center" wrapText="1"/>
    </xf>
    <xf numFmtId="0" fontId="17" fillId="14" borderId="10" xfId="1" applyFill="1" applyBorder="1" applyAlignment="1">
      <alignment horizontal="center" vertical="center" wrapText="1"/>
    </xf>
    <xf numFmtId="0" fontId="120" fillId="0" borderId="0" xfId="1" applyFont="1" applyAlignment="1">
      <alignment horizontal="center"/>
    </xf>
    <xf numFmtId="0" fontId="43" fillId="0" borderId="3" xfId="1" applyFont="1" applyBorder="1" applyAlignment="1">
      <alignment horizontal="right"/>
    </xf>
    <xf numFmtId="0" fontId="115" fillId="0" borderId="0" xfId="0" applyFont="1" applyAlignment="1">
      <alignment horizontal="right"/>
    </xf>
    <xf numFmtId="0" fontId="43" fillId="0" borderId="0" xfId="1" applyFont="1" applyAlignment="1">
      <alignment horizontal="right"/>
    </xf>
    <xf numFmtId="0" fontId="120" fillId="0" borderId="7" xfId="1" applyFont="1" applyBorder="1" applyAlignment="1">
      <alignment horizontal="center"/>
    </xf>
    <xf numFmtId="0" fontId="91" fillId="0" borderId="3" xfId="1" applyFont="1" applyBorder="1" applyAlignment="1">
      <alignment vertical="center" wrapText="1"/>
    </xf>
    <xf numFmtId="0" fontId="91" fillId="0" borderId="3" xfId="1" applyFont="1" applyBorder="1" applyAlignment="1">
      <alignment vertical="center"/>
    </xf>
    <xf numFmtId="1" fontId="43" fillId="0" borderId="3" xfId="1" applyNumberFormat="1" applyFont="1" applyBorder="1"/>
    <xf numFmtId="167" fontId="4" fillId="14" borderId="3" xfId="1" quotePrefix="1" applyNumberFormat="1" applyFont="1" applyFill="1" applyBorder="1" applyAlignment="1">
      <alignment horizontal="right"/>
    </xf>
    <xf numFmtId="0" fontId="115" fillId="3" borderId="0" xfId="0" applyFont="1" applyFill="1"/>
    <xf numFmtId="0" fontId="120" fillId="3" borderId="0" xfId="1" applyFont="1" applyFill="1" applyAlignment="1">
      <alignment horizontal="center"/>
    </xf>
    <xf numFmtId="0" fontId="43" fillId="3" borderId="0" xfId="1" applyFont="1" applyFill="1"/>
    <xf numFmtId="0" fontId="91" fillId="3" borderId="3" xfId="1" applyFont="1" applyFill="1" applyBorder="1" applyAlignment="1">
      <alignment horizontal="center" vertical="center" wrapText="1"/>
    </xf>
    <xf numFmtId="0" fontId="91" fillId="3" borderId="0" xfId="1" applyFont="1" applyFill="1"/>
    <xf numFmtId="1" fontId="43" fillId="3" borderId="0" xfId="1" applyNumberFormat="1" applyFont="1" applyFill="1"/>
    <xf numFmtId="0" fontId="120" fillId="3" borderId="7" xfId="1" applyFont="1" applyFill="1" applyBorder="1" applyAlignment="1">
      <alignment horizontal="center"/>
    </xf>
    <xf numFmtId="0" fontId="91" fillId="3" borderId="3" xfId="1" applyFont="1" applyFill="1" applyBorder="1" applyAlignment="1">
      <alignment vertical="center" wrapText="1"/>
    </xf>
    <xf numFmtId="0" fontId="91" fillId="3" borderId="3" xfId="1" applyFont="1" applyFill="1" applyBorder="1" applyAlignment="1">
      <alignment vertical="center"/>
    </xf>
    <xf numFmtId="3" fontId="43" fillId="3" borderId="3" xfId="1" applyNumberFormat="1" applyFont="1" applyFill="1" applyBorder="1"/>
    <xf numFmtId="1" fontId="43" fillId="3" borderId="3" xfId="1" applyNumberFormat="1" applyFont="1" applyFill="1" applyBorder="1"/>
    <xf numFmtId="3" fontId="43" fillId="3" borderId="3" xfId="1" applyNumberFormat="1" applyFont="1" applyFill="1" applyBorder="1" applyAlignment="1">
      <alignment horizontal="center"/>
    </xf>
    <xf numFmtId="173" fontId="17" fillId="14" borderId="39" xfId="0" applyNumberFormat="1" applyFont="1" applyFill="1" applyBorder="1" applyAlignment="1">
      <alignment horizontal="center" vertical="center"/>
    </xf>
    <xf numFmtId="0" fontId="0" fillId="3" borderId="0" xfId="0" applyFill="1"/>
    <xf numFmtId="0" fontId="43" fillId="15" borderId="11" xfId="0" applyFont="1" applyFill="1" applyBorder="1" applyAlignment="1">
      <alignment horizontal="center" vertical="center"/>
    </xf>
    <xf numFmtId="3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/>
    <xf numFmtId="3" fontId="95" fillId="15" borderId="3" xfId="0" applyNumberFormat="1" applyFont="1" applyFill="1" applyBorder="1"/>
    <xf numFmtId="2" fontId="43" fillId="15" borderId="3" xfId="0" applyNumberFormat="1" applyFont="1" applyFill="1" applyBorder="1" applyAlignment="1">
      <alignment horizontal="center" vertical="center"/>
    </xf>
    <xf numFmtId="0" fontId="95" fillId="15" borderId="3" xfId="0" applyFont="1" applyFill="1" applyBorder="1" applyAlignment="1">
      <alignment horizontal="center"/>
    </xf>
    <xf numFmtId="1" fontId="43" fillId="15" borderId="3" xfId="0" applyNumberFormat="1" applyFont="1" applyFill="1" applyBorder="1" applyAlignment="1">
      <alignment horizontal="center" vertical="center"/>
    </xf>
    <xf numFmtId="0" fontId="43" fillId="15" borderId="3" xfId="0" applyFont="1" applyFill="1" applyBorder="1" applyAlignment="1">
      <alignment horizontal="center" vertical="center"/>
    </xf>
    <xf numFmtId="165" fontId="43" fillId="15" borderId="3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49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center"/>
    </xf>
    <xf numFmtId="0" fontId="0" fillId="0" borderId="0" xfId="0" applyAlignment="1" applyProtection="1">
      <alignment horizontal="center"/>
      <protection locked="0"/>
    </xf>
    <xf numFmtId="0" fontId="4" fillId="0" borderId="0" xfId="0" applyFont="1" applyAlignment="1">
      <alignment wrapText="1"/>
    </xf>
    <xf numFmtId="0" fontId="68" fillId="0" borderId="0" xfId="0" applyFont="1" applyAlignment="1">
      <alignment horizontal="left" indent="1"/>
    </xf>
    <xf numFmtId="0" fontId="4" fillId="0" borderId="0" xfId="0" applyFont="1" applyAlignment="1">
      <alignment vertical="top" wrapText="1"/>
    </xf>
    <xf numFmtId="2" fontId="98" fillId="0" borderId="0" xfId="0" applyNumberFormat="1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justify" vertical="top" wrapText="1"/>
    </xf>
    <xf numFmtId="167" fontId="98" fillId="14" borderId="3" xfId="0" applyNumberFormat="1" applyFont="1" applyFill="1" applyBorder="1"/>
    <xf numFmtId="170" fontId="98" fillId="14" borderId="3" xfId="0" applyNumberFormat="1" applyFont="1" applyFill="1" applyBorder="1"/>
    <xf numFmtId="167" fontId="98" fillId="14" borderId="0" xfId="0" applyNumberFormat="1" applyFont="1" applyFill="1"/>
    <xf numFmtId="0" fontId="4" fillId="0" borderId="0" xfId="0" applyFont="1" applyAlignment="1">
      <alignment horizontal="center"/>
    </xf>
    <xf numFmtId="0" fontId="0" fillId="0" borderId="82" xfId="0" applyBorder="1" applyAlignment="1">
      <alignment vertical="center" wrapText="1"/>
    </xf>
    <xf numFmtId="0" fontId="0" fillId="0" borderId="30" xfId="0" applyBorder="1" applyAlignment="1">
      <alignment vertical="center" wrapText="1"/>
    </xf>
    <xf numFmtId="0" fontId="122" fillId="0" borderId="30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22" fillId="0" borderId="0" xfId="0" applyFont="1" applyAlignment="1">
      <alignment horizontal="center" vertical="center" wrapText="1"/>
    </xf>
    <xf numFmtId="0" fontId="68" fillId="0" borderId="0" xfId="0" applyFont="1" applyAlignment="1">
      <alignment horizontal="left" indent="5"/>
    </xf>
    <xf numFmtId="0" fontId="68" fillId="0" borderId="0" xfId="0" applyFont="1" applyAlignment="1">
      <alignment horizontal="left" indent="3"/>
    </xf>
    <xf numFmtId="164" fontId="4" fillId="0" borderId="0" xfId="0" applyNumberFormat="1" applyFont="1"/>
    <xf numFmtId="0" fontId="68" fillId="0" borderId="0" xfId="0" applyFont="1" applyAlignment="1">
      <alignment horizontal="left" vertical="center" indent="1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vertical="top"/>
    </xf>
    <xf numFmtId="0" fontId="68" fillId="0" borderId="0" xfId="0" applyFont="1" applyAlignment="1">
      <alignment horizontal="left"/>
    </xf>
    <xf numFmtId="0" fontId="4" fillId="3" borderId="0" xfId="0" applyFont="1" applyFill="1" applyAlignment="1">
      <alignment vertical="top"/>
    </xf>
    <xf numFmtId="0" fontId="0" fillId="0" borderId="0" xfId="0" applyAlignment="1">
      <alignment vertical="top" wrapText="1"/>
    </xf>
    <xf numFmtId="0" fontId="68" fillId="0" borderId="0" xfId="0" applyFont="1"/>
    <xf numFmtId="0" fontId="17" fillId="0" borderId="0" xfId="0" applyFont="1"/>
    <xf numFmtId="0" fontId="17" fillId="0" borderId="3" xfId="0" applyFont="1" applyBorder="1" applyAlignment="1">
      <alignment horizontal="center" vertical="center"/>
    </xf>
    <xf numFmtId="3" fontId="17" fillId="0" borderId="3" xfId="0" applyNumberFormat="1" applyFont="1" applyBorder="1" applyAlignment="1">
      <alignment horizontal="center" vertical="center"/>
    </xf>
    <xf numFmtId="0" fontId="49" fillId="0" borderId="3" xfId="0" applyFont="1" applyBorder="1" applyAlignment="1">
      <alignment horizontal="center" vertical="top"/>
    </xf>
    <xf numFmtId="165" fontId="49" fillId="0" borderId="3" xfId="0" applyNumberFormat="1" applyFont="1" applyBorder="1" applyAlignment="1">
      <alignment horizontal="center" vertical="top"/>
    </xf>
    <xf numFmtId="164" fontId="49" fillId="0" borderId="1" xfId="0" applyNumberFormat="1" applyFont="1" applyBorder="1" applyAlignment="1">
      <alignment horizontal="center" vertical="top"/>
    </xf>
    <xf numFmtId="0" fontId="49" fillId="0" borderId="1" xfId="0" applyFont="1" applyBorder="1" applyAlignment="1">
      <alignment horizontal="center" vertical="top"/>
    </xf>
    <xf numFmtId="0" fontId="49" fillId="0" borderId="9" xfId="0" applyFont="1" applyBorder="1" applyAlignment="1">
      <alignment horizontal="center" vertical="top"/>
    </xf>
    <xf numFmtId="0" fontId="49" fillId="0" borderId="10" xfId="0" applyFont="1" applyBorder="1" applyAlignment="1">
      <alignment horizontal="center"/>
    </xf>
    <xf numFmtId="164" fontId="49" fillId="0" borderId="3" xfId="0" applyNumberFormat="1" applyFont="1" applyBorder="1" applyAlignment="1">
      <alignment horizontal="center" vertical="top"/>
    </xf>
    <xf numFmtId="0" fontId="49" fillId="0" borderId="10" xfId="0" applyFont="1" applyBorder="1" applyAlignment="1">
      <alignment horizontal="center" vertical="top"/>
    </xf>
    <xf numFmtId="0" fontId="49" fillId="0" borderId="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2" fontId="4" fillId="14" borderId="3" xfId="1" applyNumberFormat="1" applyFont="1" applyFill="1" applyBorder="1" applyAlignment="1">
      <alignment horizontal="right"/>
    </xf>
    <xf numFmtId="2" fontId="4" fillId="14" borderId="3" xfId="1" applyNumberFormat="1" applyFont="1" applyFill="1" applyBorder="1" applyAlignment="1">
      <alignment horizontal="center"/>
    </xf>
    <xf numFmtId="2" fontId="4" fillId="14" borderId="3" xfId="1" applyNumberFormat="1" applyFont="1" applyFill="1" applyBorder="1"/>
    <xf numFmtId="2" fontId="4" fillId="14" borderId="3" xfId="1" quotePrefix="1" applyNumberFormat="1" applyFont="1" applyFill="1" applyBorder="1" applyAlignment="1">
      <alignment horizontal="center"/>
    </xf>
    <xf numFmtId="0" fontId="17" fillId="0" borderId="3" xfId="1" applyBorder="1" applyAlignment="1">
      <alignment horizontal="right"/>
    </xf>
    <xf numFmtId="0" fontId="16" fillId="3" borderId="3" xfId="1" applyFont="1" applyFill="1" applyBorder="1" applyAlignment="1">
      <alignment horizontal="center" vertical="center" wrapText="1"/>
    </xf>
    <xf numFmtId="0" fontId="17" fillId="3" borderId="3" xfId="1" applyFill="1" applyBorder="1" applyAlignment="1">
      <alignment horizontal="right"/>
    </xf>
    <xf numFmtId="0" fontId="17" fillId="3" borderId="3" xfId="1" applyFill="1" applyBorder="1"/>
    <xf numFmtId="0" fontId="20" fillId="3" borderId="7" xfId="1" applyFont="1" applyFill="1" applyBorder="1" applyAlignment="1">
      <alignment horizontal="center"/>
    </xf>
    <xf numFmtId="0" fontId="17" fillId="3" borderId="0" xfId="1" applyFill="1"/>
    <xf numFmtId="0" fontId="16" fillId="3" borderId="3" xfId="1" applyFont="1" applyFill="1" applyBorder="1" applyAlignment="1">
      <alignment vertical="center" wrapText="1"/>
    </xf>
    <xf numFmtId="0" fontId="16" fillId="3" borderId="3" xfId="1" applyFont="1" applyFill="1" applyBorder="1" applyAlignment="1">
      <alignment vertical="center"/>
    </xf>
    <xf numFmtId="3" fontId="17" fillId="3" borderId="3" xfId="1" applyNumberFormat="1" applyFill="1" applyBorder="1"/>
    <xf numFmtId="1" fontId="17" fillId="3" borderId="3" xfId="1" applyNumberFormat="1" applyFill="1" applyBorder="1"/>
    <xf numFmtId="0" fontId="16" fillId="3" borderId="0" xfId="1" applyFont="1" applyFill="1"/>
    <xf numFmtId="1" fontId="17" fillId="3" borderId="0" xfId="1" applyNumberFormat="1" applyFill="1"/>
    <xf numFmtId="0" fontId="115" fillId="0" borderId="3" xfId="0" applyFont="1" applyBorder="1" applyAlignment="1">
      <alignment horizontal="center" vertical="top"/>
    </xf>
    <xf numFmtId="164" fontId="115" fillId="0" borderId="1" xfId="0" applyNumberFormat="1" applyFont="1" applyBorder="1" applyAlignment="1">
      <alignment horizontal="center" vertical="top"/>
    </xf>
    <xf numFmtId="0" fontId="115" fillId="0" borderId="1" xfId="0" applyFont="1" applyBorder="1" applyAlignment="1">
      <alignment horizontal="center" vertical="top"/>
    </xf>
    <xf numFmtId="0" fontId="115" fillId="0" borderId="9" xfId="0" applyFont="1" applyBorder="1" applyAlignment="1">
      <alignment horizontal="center" vertical="top"/>
    </xf>
    <xf numFmtId="0" fontId="115" fillId="0" borderId="10" xfId="0" applyFont="1" applyBorder="1" applyAlignment="1">
      <alignment horizontal="center"/>
    </xf>
    <xf numFmtId="0" fontId="115" fillId="0" borderId="3" xfId="0" applyFont="1" applyBorder="1" applyAlignment="1">
      <alignment horizontal="center"/>
    </xf>
    <xf numFmtId="0" fontId="115" fillId="0" borderId="3" xfId="0" applyFont="1" applyBorder="1"/>
    <xf numFmtId="49" fontId="6" fillId="0" borderId="0" xfId="0" applyNumberFormat="1" applyFont="1" applyAlignment="1">
      <alignment horizontal="center"/>
    </xf>
    <xf numFmtId="0" fontId="6" fillId="19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197" fontId="6" fillId="0" borderId="2" xfId="0" applyNumberFormat="1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0" fontId="0" fillId="3" borderId="3" xfId="0" applyFill="1" applyBorder="1"/>
    <xf numFmtId="170" fontId="43" fillId="15" borderId="3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left"/>
    </xf>
    <xf numFmtId="0" fontId="6" fillId="21" borderId="11" xfId="0" applyFont="1" applyFill="1" applyBorder="1" applyAlignment="1">
      <alignment horizontal="center"/>
    </xf>
    <xf numFmtId="0" fontId="6" fillId="21" borderId="3" xfId="0" applyFont="1" applyFill="1" applyBorder="1" applyAlignment="1">
      <alignment horizontal="center"/>
    </xf>
    <xf numFmtId="0" fontId="6" fillId="21" borderId="3" xfId="0" applyFont="1" applyFill="1" applyBorder="1"/>
    <xf numFmtId="0" fontId="0" fillId="3" borderId="3" xfId="0" applyFill="1" applyBorder="1" applyAlignment="1">
      <alignment horizontal="center" vertical="center"/>
    </xf>
    <xf numFmtId="0" fontId="124" fillId="3" borderId="3" xfId="0" applyFont="1" applyFill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 applyProtection="1">
      <alignment horizontal="left" vertical="center" wrapText="1"/>
      <protection locked="0"/>
    </xf>
    <xf numFmtId="3" fontId="4" fillId="0" borderId="0" xfId="0" applyNumberFormat="1" applyFont="1" applyAlignment="1">
      <alignment horizontal="left" vertical="center" wrapText="1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129" fillId="18" borderId="0" xfId="0" applyFont="1" applyFill="1" applyAlignment="1" applyProtection="1">
      <alignment horizontal="center"/>
      <protection locked="0"/>
    </xf>
    <xf numFmtId="0" fontId="129" fillId="18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3" fillId="0" borderId="0" xfId="0" applyFont="1"/>
    <xf numFmtId="0" fontId="0" fillId="0" borderId="3" xfId="0" applyBorder="1"/>
    <xf numFmtId="0" fontId="0" fillId="0" borderId="3" xfId="0" applyBorder="1" applyAlignment="1">
      <alignment vertical="top"/>
    </xf>
    <xf numFmtId="3" fontId="4" fillId="0" borderId="0" xfId="0" applyNumberFormat="1" applyFont="1"/>
    <xf numFmtId="11" fontId="130" fillId="0" borderId="3" xfId="0" applyNumberFormat="1" applyFont="1" applyBorder="1" applyAlignment="1">
      <alignment vertical="top"/>
    </xf>
    <xf numFmtId="191" fontId="2" fillId="13" borderId="3" xfId="0" applyNumberFormat="1" applyFont="1" applyFill="1" applyBorder="1" applyAlignment="1">
      <alignment horizontal="center" vertical="center"/>
    </xf>
    <xf numFmtId="195" fontId="2" fillId="13" borderId="3" xfId="0" applyNumberFormat="1" applyFont="1" applyFill="1" applyBorder="1" applyAlignment="1">
      <alignment horizontal="center" vertical="center"/>
    </xf>
    <xf numFmtId="192" fontId="2" fillId="13" borderId="3" xfId="0" applyNumberFormat="1" applyFont="1" applyFill="1" applyBorder="1" applyAlignment="1">
      <alignment horizontal="center" vertical="center"/>
    </xf>
    <xf numFmtId="0" fontId="17" fillId="22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198" fontId="98" fillId="14" borderId="0" xfId="0" applyNumberFormat="1" applyFont="1" applyFill="1" applyAlignment="1">
      <alignment horizontal="center" vertical="center"/>
    </xf>
    <xf numFmtId="195" fontId="98" fillId="14" borderId="0" xfId="0" applyNumberFormat="1" applyFont="1" applyFill="1" applyAlignment="1">
      <alignment horizontal="center" vertical="center"/>
    </xf>
    <xf numFmtId="199" fontId="98" fillId="14" borderId="0" xfId="0" applyNumberFormat="1" applyFont="1" applyFill="1" applyAlignment="1">
      <alignment horizontal="center" vertical="center"/>
    </xf>
    <xf numFmtId="0" fontId="2" fillId="0" borderId="3" xfId="0" applyFont="1" applyBorder="1" applyAlignment="1">
      <alignment horizontal="center" vertical="top"/>
    </xf>
    <xf numFmtId="167" fontId="17" fillId="3" borderId="3" xfId="1" applyNumberFormat="1" applyFill="1" applyBorder="1"/>
    <xf numFmtId="3" fontId="17" fillId="2" borderId="3" xfId="1" applyNumberFormat="1" applyFill="1" applyBorder="1"/>
    <xf numFmtId="0" fontId="0" fillId="23" borderId="0" xfId="0" applyFill="1"/>
    <xf numFmtId="0" fontId="132" fillId="0" borderId="0" xfId="0" applyFont="1"/>
    <xf numFmtId="0" fontId="134" fillId="23" borderId="0" xfId="0" applyFont="1" applyFill="1"/>
    <xf numFmtId="0" fontId="0" fillId="2" borderId="0" xfId="0" applyFill="1"/>
    <xf numFmtId="0" fontId="0" fillId="26" borderId="3" xfId="0" applyFill="1" applyBorder="1" applyAlignment="1">
      <alignment horizontal="center" vertical="center"/>
    </xf>
    <xf numFmtId="2" fontId="0" fillId="0" borderId="3" xfId="0" applyNumberFormat="1" applyBorder="1"/>
    <xf numFmtId="11" fontId="0" fillId="0" borderId="3" xfId="0" applyNumberFormat="1" applyBorder="1"/>
    <xf numFmtId="0" fontId="0" fillId="27" borderId="3" xfId="0" applyFill="1" applyBorder="1" applyAlignment="1">
      <alignment horizontal="center" vertical="center"/>
    </xf>
    <xf numFmtId="0" fontId="136" fillId="27" borderId="3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4" fontId="0" fillId="28" borderId="3" xfId="0" applyNumberFormat="1" applyFill="1" applyBorder="1" applyAlignment="1">
      <alignment horizontal="right" vertical="center"/>
    </xf>
    <xf numFmtId="2" fontId="0" fillId="28" borderId="3" xfId="0" applyNumberFormat="1" applyFill="1" applyBorder="1" applyAlignment="1">
      <alignment horizontal="right" vertical="center"/>
    </xf>
    <xf numFmtId="0" fontId="132" fillId="2" borderId="84" xfId="0" applyFont="1" applyFill="1" applyBorder="1" applyAlignment="1">
      <alignment horizontal="center" vertical="center"/>
    </xf>
    <xf numFmtId="0" fontId="132" fillId="2" borderId="82" xfId="0" applyFont="1" applyFill="1" applyBorder="1" applyAlignment="1">
      <alignment horizontal="center" vertical="center"/>
    </xf>
    <xf numFmtId="0" fontId="132" fillId="0" borderId="0" xfId="0" applyFont="1" applyAlignment="1">
      <alignment vertical="center"/>
    </xf>
    <xf numFmtId="0" fontId="132" fillId="0" borderId="60" xfId="0" applyFont="1" applyBorder="1" applyAlignment="1">
      <alignment vertical="center"/>
    </xf>
    <xf numFmtId="0" fontId="0" fillId="2" borderId="59" xfId="0" applyFill="1" applyBorder="1"/>
    <xf numFmtId="0" fontId="0" fillId="2" borderId="61" xfId="0" applyFill="1" applyBorder="1"/>
    <xf numFmtId="0" fontId="0" fillId="2" borderId="63" xfId="0" applyFill="1" applyBorder="1"/>
    <xf numFmtId="0" fontId="0" fillId="2" borderId="64" xfId="0" applyFill="1" applyBorder="1"/>
    <xf numFmtId="0" fontId="0" fillId="2" borderId="29" xfId="0" applyFill="1" applyBorder="1"/>
    <xf numFmtId="0" fontId="0" fillId="2" borderId="30" xfId="0" applyFill="1" applyBorder="1"/>
    <xf numFmtId="0" fontId="132" fillId="2" borderId="85" xfId="0" applyFont="1" applyFill="1" applyBorder="1" applyAlignment="1">
      <alignment horizontal="center" vertical="center"/>
    </xf>
    <xf numFmtId="0" fontId="138" fillId="2" borderId="83" xfId="0" applyFont="1" applyFill="1" applyBorder="1" applyAlignment="1">
      <alignment horizontal="center" vertical="center"/>
    </xf>
    <xf numFmtId="0" fontId="6" fillId="2" borderId="0" xfId="0" applyFont="1" applyFill="1"/>
    <xf numFmtId="3" fontId="0" fillId="28" borderId="3" xfId="0" applyNumberFormat="1" applyFill="1" applyBorder="1" applyAlignment="1">
      <alignment horizontal="right" vertical="center"/>
    </xf>
    <xf numFmtId="0" fontId="17" fillId="0" borderId="0" xfId="0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17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91" fillId="9" borderId="0" xfId="0" applyFont="1" applyFill="1" applyAlignment="1">
      <alignment horizontal="left"/>
    </xf>
    <xf numFmtId="0" fontId="0" fillId="0" borderId="3" xfId="0" applyBorder="1" applyAlignment="1">
      <alignment horizontal="left" vertical="top"/>
    </xf>
    <xf numFmtId="49" fontId="0" fillId="0" borderId="1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17" fillId="0" borderId="3" xfId="0" applyFont="1" applyBorder="1" applyAlignment="1" applyProtection="1">
      <alignment horizontal="left"/>
      <protection locked="0"/>
    </xf>
    <xf numFmtId="0" fontId="7" fillId="4" borderId="1" xfId="0" applyFont="1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/>
    </xf>
    <xf numFmtId="0" fontId="7" fillId="4" borderId="10" xfId="0" applyFont="1" applyFill="1" applyBorder="1" applyAlignment="1">
      <alignment horizontal="center" vertical="center"/>
    </xf>
    <xf numFmtId="49" fontId="17" fillId="0" borderId="3" xfId="0" applyNumberFormat="1" applyFont="1" applyBorder="1" applyAlignment="1" applyProtection="1">
      <alignment horizontal="center"/>
      <protection locked="0"/>
    </xf>
    <xf numFmtId="49" fontId="17" fillId="0" borderId="10" xfId="0" applyNumberFormat="1" applyFont="1" applyBorder="1" applyAlignment="1" applyProtection="1">
      <alignment horizontal="center"/>
      <protection locked="0"/>
    </xf>
    <xf numFmtId="0" fontId="17" fillId="0" borderId="3" xfId="0" applyFont="1" applyBorder="1" applyAlignment="1" applyProtection="1">
      <alignment horizontal="center"/>
      <protection locked="0"/>
    </xf>
    <xf numFmtId="0" fontId="0" fillId="0" borderId="3" xfId="0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17" borderId="1" xfId="0" applyFont="1" applyFill="1" applyBorder="1" applyAlignment="1">
      <alignment horizontal="center" vertical="center"/>
    </xf>
    <xf numFmtId="0" fontId="7" fillId="17" borderId="9" xfId="0" applyFont="1" applyFill="1" applyBorder="1" applyAlignment="1">
      <alignment horizontal="center" vertical="center"/>
    </xf>
    <xf numFmtId="0" fontId="7" fillId="17" borderId="10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/>
    </xf>
    <xf numFmtId="49" fontId="17" fillId="0" borderId="3" xfId="0" applyNumberFormat="1" applyFont="1" applyBorder="1" applyAlignment="1" applyProtection="1">
      <alignment horizontal="left"/>
      <protection locked="0"/>
    </xf>
    <xf numFmtId="0" fontId="92" fillId="3" borderId="3" xfId="0" applyFont="1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124" fillId="2" borderId="12" xfId="0" applyFont="1" applyFill="1" applyBorder="1" applyAlignment="1">
      <alignment horizontal="center" vertical="center" wrapText="1"/>
    </xf>
    <xf numFmtId="0" fontId="124" fillId="2" borderId="11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123" fillId="20" borderId="1" xfId="0" applyFont="1" applyFill="1" applyBorder="1" applyAlignment="1">
      <alignment horizontal="center"/>
    </xf>
    <xf numFmtId="0" fontId="123" fillId="20" borderId="10" xfId="0" applyFont="1" applyFill="1" applyBorder="1" applyAlignment="1">
      <alignment horizontal="center"/>
    </xf>
    <xf numFmtId="0" fontId="123" fillId="20" borderId="3" xfId="0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wrapText="1"/>
    </xf>
    <xf numFmtId="1" fontId="43" fillId="15" borderId="11" xfId="0" applyNumberFormat="1" applyFont="1" applyFill="1" applyBorder="1" applyAlignment="1">
      <alignment horizontal="center" wrapText="1"/>
    </xf>
    <xf numFmtId="1" fontId="43" fillId="15" borderId="12" xfId="0" applyNumberFormat="1" applyFont="1" applyFill="1" applyBorder="1" applyAlignment="1">
      <alignment horizontal="center" vertical="center" wrapText="1"/>
    </xf>
    <xf numFmtId="1" fontId="43" fillId="15" borderId="11" xfId="0" applyNumberFormat="1" applyFont="1" applyFill="1" applyBorder="1" applyAlignment="1">
      <alignment horizontal="center" vertical="center" wrapText="1"/>
    </xf>
    <xf numFmtId="0" fontId="91" fillId="15" borderId="3" xfId="0" applyFont="1" applyFill="1" applyBorder="1" applyAlignment="1">
      <alignment horizontal="center" vertical="center"/>
    </xf>
    <xf numFmtId="0" fontId="91" fillId="15" borderId="6" xfId="0" applyFont="1" applyFill="1" applyBorder="1" applyAlignment="1">
      <alignment horizontal="center" vertical="center"/>
    </xf>
    <xf numFmtId="0" fontId="91" fillId="15" borderId="7" xfId="0" applyFont="1" applyFill="1" applyBorder="1" applyAlignment="1">
      <alignment horizontal="center" vertical="center"/>
    </xf>
    <xf numFmtId="0" fontId="91" fillId="15" borderId="34" xfId="0" applyFont="1" applyFill="1" applyBorder="1" applyAlignment="1">
      <alignment horizontal="center" vertical="center" wrapText="1"/>
    </xf>
    <xf numFmtId="0" fontId="91" fillId="15" borderId="11" xfId="0" applyFont="1" applyFill="1" applyBorder="1" applyAlignment="1">
      <alignment horizontal="center" vertical="center" wrapText="1"/>
    </xf>
    <xf numFmtId="0" fontId="91" fillId="15" borderId="12" xfId="0" applyFont="1" applyFill="1" applyBorder="1" applyAlignment="1">
      <alignment horizontal="center" vertical="center"/>
    </xf>
    <xf numFmtId="0" fontId="91" fillId="15" borderId="1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justify" vertical="top" wrapText="1"/>
    </xf>
    <xf numFmtId="164" fontId="7" fillId="0" borderId="3" xfId="0" applyNumberFormat="1" applyFont="1" applyBorder="1" applyAlignment="1">
      <alignment horizontal="center"/>
    </xf>
    <xf numFmtId="0" fontId="94" fillId="16" borderId="3" xfId="0" applyFont="1" applyFill="1" applyBorder="1" applyAlignment="1">
      <alignment horizontal="center" vertical="center"/>
    </xf>
    <xf numFmtId="164" fontId="94" fillId="16" borderId="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left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3" fontId="8" fillId="0" borderId="3" xfId="0" applyNumberFormat="1" applyFont="1" applyBorder="1" applyAlignment="1">
      <alignment horizontal="center" vertical="center"/>
    </xf>
    <xf numFmtId="2" fontId="17" fillId="0" borderId="3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24" fillId="0" borderId="3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6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41" fillId="0" borderId="0" xfId="1" applyFont="1" applyAlignment="1">
      <alignment horizontal="center"/>
    </xf>
    <xf numFmtId="0" fontId="120" fillId="0" borderId="0" xfId="1" applyFont="1" applyAlignment="1">
      <alignment horizontal="center"/>
    </xf>
    <xf numFmtId="0" fontId="41" fillId="0" borderId="7" xfId="1" applyFont="1" applyBorder="1" applyAlignment="1">
      <alignment horizontal="center"/>
    </xf>
    <xf numFmtId="0" fontId="121" fillId="2" borderId="1" xfId="1" applyFont="1" applyFill="1" applyBorder="1" applyAlignment="1">
      <alignment horizontal="center" vertical="center" wrapText="1"/>
    </xf>
    <xf numFmtId="0" fontId="121" fillId="2" borderId="10" xfId="1" applyFont="1" applyFill="1" applyBorder="1" applyAlignment="1">
      <alignment horizontal="center" vertical="center" wrapText="1"/>
    </xf>
    <xf numFmtId="0" fontId="98" fillId="4" borderId="0" xfId="0" applyFont="1" applyFill="1" applyAlignment="1">
      <alignment horizontal="center"/>
    </xf>
    <xf numFmtId="0" fontId="98" fillId="4" borderId="1" xfId="0" applyFont="1" applyFill="1" applyBorder="1" applyAlignment="1">
      <alignment horizontal="center" vertical="center"/>
    </xf>
    <xf numFmtId="0" fontId="98" fillId="4" borderId="10" xfId="0" applyFont="1" applyFill="1" applyBorder="1" applyAlignment="1">
      <alignment horizontal="center" vertical="center"/>
    </xf>
    <xf numFmtId="0" fontId="98" fillId="4" borderId="12" xfId="0" applyFont="1" applyFill="1" applyBorder="1" applyAlignment="1">
      <alignment horizontal="center" vertical="center" wrapText="1"/>
    </xf>
    <xf numFmtId="0" fontId="98" fillId="4" borderId="11" xfId="0" applyFont="1" applyFill="1" applyBorder="1" applyAlignment="1">
      <alignment horizontal="center" vertical="center" wrapText="1"/>
    </xf>
    <xf numFmtId="0" fontId="98" fillId="4" borderId="3" xfId="0" applyFont="1" applyFill="1" applyBorder="1" applyAlignment="1">
      <alignment horizontal="center" vertical="center" wrapText="1"/>
    </xf>
    <xf numFmtId="0" fontId="40" fillId="14" borderId="0" xfId="1" applyFont="1" applyFill="1" applyAlignment="1">
      <alignment horizontal="center"/>
    </xf>
    <xf numFmtId="182" fontId="22" fillId="11" borderId="0" xfId="0" applyNumberFormat="1" applyFont="1" applyFill="1" applyAlignment="1">
      <alignment horizontal="center" vertical="center"/>
    </xf>
    <xf numFmtId="0" fontId="38" fillId="14" borderId="65" xfId="0" applyFont="1" applyFill="1" applyBorder="1" applyAlignment="1">
      <alignment horizontal="center"/>
    </xf>
    <xf numFmtId="0" fontId="38" fillId="14" borderId="66" xfId="0" applyFont="1" applyFill="1" applyBorder="1" applyAlignment="1">
      <alignment horizontal="center"/>
    </xf>
    <xf numFmtId="0" fontId="38" fillId="14" borderId="67" xfId="0" applyFont="1" applyFill="1" applyBorder="1" applyAlignment="1">
      <alignment horizontal="center"/>
    </xf>
    <xf numFmtId="0" fontId="38" fillId="14" borderId="59" xfId="0" applyFont="1" applyFill="1" applyBorder="1" applyAlignment="1">
      <alignment horizontal="center"/>
    </xf>
    <xf numFmtId="0" fontId="16" fillId="0" borderId="65" xfId="0" applyFont="1" applyBorder="1" applyAlignment="1">
      <alignment horizontal="center"/>
    </xf>
    <xf numFmtId="0" fontId="16" fillId="0" borderId="66" xfId="0" applyFont="1" applyBorder="1" applyAlignment="1">
      <alignment horizontal="center"/>
    </xf>
    <xf numFmtId="0" fontId="16" fillId="0" borderId="67" xfId="0" applyFont="1" applyBorder="1" applyAlignment="1">
      <alignment horizontal="center"/>
    </xf>
    <xf numFmtId="0" fontId="73" fillId="11" borderId="4" xfId="0" applyFont="1" applyFill="1" applyBorder="1" applyAlignment="1">
      <alignment horizontal="left" vertical="center"/>
    </xf>
    <xf numFmtId="0" fontId="73" fillId="11" borderId="2" xfId="0" applyFont="1" applyFill="1" applyBorder="1" applyAlignment="1">
      <alignment horizontal="left" vertical="center"/>
    </xf>
    <xf numFmtId="2" fontId="21" fillId="11" borderId="12" xfId="0" applyNumberFormat="1" applyFont="1" applyFill="1" applyBorder="1" applyAlignment="1">
      <alignment horizontal="center" vertical="center"/>
    </xf>
    <xf numFmtId="2" fontId="21" fillId="11" borderId="11" xfId="0" applyNumberFormat="1" applyFont="1" applyFill="1" applyBorder="1" applyAlignment="1">
      <alignment horizontal="center" vertical="center"/>
    </xf>
    <xf numFmtId="0" fontId="23" fillId="11" borderId="12" xfId="0" applyFont="1" applyFill="1" applyBorder="1" applyAlignment="1">
      <alignment horizontal="center" vertical="center"/>
    </xf>
    <xf numFmtId="0" fontId="23" fillId="11" borderId="11" xfId="0" applyFont="1" applyFill="1" applyBorder="1" applyAlignment="1">
      <alignment horizontal="center" vertical="center"/>
    </xf>
    <xf numFmtId="0" fontId="57" fillId="11" borderId="6" xfId="0" applyFont="1" applyFill="1" applyBorder="1" applyAlignment="1">
      <alignment horizontal="left" vertical="center"/>
    </xf>
    <xf numFmtId="0" fontId="57" fillId="11" borderId="7" xfId="0" applyFont="1" applyFill="1" applyBorder="1" applyAlignment="1">
      <alignment horizontal="left" vertical="center"/>
    </xf>
    <xf numFmtId="0" fontId="75" fillId="11" borderId="13" xfId="0" applyFont="1" applyFill="1" applyBorder="1" applyAlignment="1">
      <alignment horizontal="center" vertical="center"/>
    </xf>
    <xf numFmtId="0" fontId="75" fillId="11" borderId="0" xfId="0" applyFont="1" applyFill="1" applyAlignment="1">
      <alignment horizontal="center" vertical="center"/>
    </xf>
    <xf numFmtId="2" fontId="53" fillId="14" borderId="59" xfId="0" applyNumberFormat="1" applyFont="1" applyFill="1" applyBorder="1" applyAlignment="1">
      <alignment horizontal="center" vertical="center"/>
    </xf>
    <xf numFmtId="2" fontId="53" fillId="14" borderId="60" xfId="0" applyNumberFormat="1" applyFont="1" applyFill="1" applyBorder="1" applyAlignment="1">
      <alignment horizontal="center" vertical="center"/>
    </xf>
    <xf numFmtId="2" fontId="53" fillId="14" borderId="61" xfId="0" applyNumberFormat="1" applyFont="1" applyFill="1" applyBorder="1" applyAlignment="1">
      <alignment horizontal="center" vertical="center"/>
    </xf>
    <xf numFmtId="2" fontId="53" fillId="14" borderId="29" xfId="0" applyNumberFormat="1" applyFont="1" applyFill="1" applyBorder="1" applyAlignment="1">
      <alignment horizontal="center" vertical="center"/>
    </xf>
    <xf numFmtId="2" fontId="53" fillId="14" borderId="62" xfId="0" applyNumberFormat="1" applyFont="1" applyFill="1" applyBorder="1" applyAlignment="1">
      <alignment horizontal="center" vertical="center"/>
    </xf>
    <xf numFmtId="2" fontId="53" fillId="14" borderId="30" xfId="0" applyNumberFormat="1" applyFont="1" applyFill="1" applyBorder="1" applyAlignment="1">
      <alignment horizontal="center" vertical="center"/>
    </xf>
    <xf numFmtId="0" fontId="69" fillId="11" borderId="6" xfId="0" applyFont="1" applyFill="1" applyBorder="1" applyAlignment="1">
      <alignment horizontal="left" vertical="top"/>
    </xf>
    <xf numFmtId="0" fontId="80" fillId="11" borderId="7" xfId="0" applyFont="1" applyFill="1" applyBorder="1" applyAlignment="1">
      <alignment horizontal="left" vertical="top"/>
    </xf>
    <xf numFmtId="177" fontId="100" fillId="14" borderId="0" xfId="0" applyNumberFormat="1" applyFont="1" applyFill="1" applyAlignment="1">
      <alignment horizontal="center" vertical="center"/>
    </xf>
    <xf numFmtId="0" fontId="100" fillId="14" borderId="0" xfId="0" applyFont="1" applyFill="1" applyAlignment="1">
      <alignment horizontal="center" vertical="center"/>
    </xf>
    <xf numFmtId="2" fontId="21" fillId="14" borderId="59" xfId="0" applyNumberFormat="1" applyFont="1" applyFill="1" applyBorder="1" applyAlignment="1">
      <alignment horizontal="center" vertical="center" wrapText="1"/>
    </xf>
    <xf numFmtId="2" fontId="21" fillId="14" borderId="60" xfId="0" applyNumberFormat="1" applyFont="1" applyFill="1" applyBorder="1" applyAlignment="1">
      <alignment horizontal="center" vertical="center" wrapText="1"/>
    </xf>
    <xf numFmtId="2" fontId="21" fillId="14" borderId="61" xfId="0" applyNumberFormat="1" applyFont="1" applyFill="1" applyBorder="1" applyAlignment="1">
      <alignment horizontal="center" vertical="center" wrapText="1"/>
    </xf>
    <xf numFmtId="2" fontId="21" fillId="14" borderId="63" xfId="0" applyNumberFormat="1" applyFont="1" applyFill="1" applyBorder="1" applyAlignment="1">
      <alignment horizontal="center" vertical="center" wrapText="1"/>
    </xf>
    <xf numFmtId="2" fontId="21" fillId="14" borderId="0" xfId="0" applyNumberFormat="1" applyFont="1" applyFill="1" applyAlignment="1">
      <alignment horizontal="center" vertical="center" wrapText="1"/>
    </xf>
    <xf numFmtId="2" fontId="21" fillId="14" borderId="64" xfId="0" applyNumberFormat="1" applyFont="1" applyFill="1" applyBorder="1" applyAlignment="1">
      <alignment horizontal="center" vertical="center" wrapText="1"/>
    </xf>
    <xf numFmtId="2" fontId="21" fillId="14" borderId="29" xfId="0" applyNumberFormat="1" applyFont="1" applyFill="1" applyBorder="1" applyAlignment="1">
      <alignment horizontal="center" vertical="center" wrapText="1"/>
    </xf>
    <xf numFmtId="2" fontId="21" fillId="14" borderId="62" xfId="0" applyNumberFormat="1" applyFont="1" applyFill="1" applyBorder="1" applyAlignment="1">
      <alignment horizontal="center" vertical="center" wrapText="1"/>
    </xf>
    <xf numFmtId="2" fontId="21" fillId="14" borderId="30" xfId="0" applyNumberFormat="1" applyFont="1" applyFill="1" applyBorder="1" applyAlignment="1">
      <alignment horizontal="center" vertical="center" wrapText="1"/>
    </xf>
    <xf numFmtId="0" fontId="73" fillId="11" borderId="3" xfId="0" applyFont="1" applyFill="1" applyBorder="1" applyAlignment="1">
      <alignment horizontal="left"/>
    </xf>
    <xf numFmtId="0" fontId="88" fillId="11" borderId="4" xfId="0" applyFont="1" applyFill="1" applyBorder="1" applyAlignment="1">
      <alignment horizontal="left"/>
    </xf>
    <xf numFmtId="0" fontId="73" fillId="11" borderId="5" xfId="0" applyFont="1" applyFill="1" applyBorder="1" applyAlignment="1">
      <alignment horizontal="left"/>
    </xf>
    <xf numFmtId="0" fontId="81" fillId="11" borderId="6" xfId="0" applyFont="1" applyFill="1" applyBorder="1" applyAlignment="1">
      <alignment horizontal="left" vertical="center"/>
    </xf>
    <xf numFmtId="0" fontId="81" fillId="11" borderId="7" xfId="0" applyFont="1" applyFill="1" applyBorder="1" applyAlignment="1">
      <alignment horizontal="left" vertical="center"/>
    </xf>
    <xf numFmtId="0" fontId="80" fillId="11" borderId="1" xfId="0" applyFont="1" applyFill="1" applyBorder="1" applyAlignment="1">
      <alignment horizontal="left" vertical="center"/>
    </xf>
    <xf numFmtId="0" fontId="80" fillId="11" borderId="9" xfId="0" applyFont="1" applyFill="1" applyBorder="1" applyAlignment="1">
      <alignment horizontal="left" vertical="center"/>
    </xf>
    <xf numFmtId="0" fontId="73" fillId="11" borderId="6" xfId="0" applyFont="1" applyFill="1" applyBorder="1" applyAlignment="1">
      <alignment horizontal="left" vertical="center"/>
    </xf>
    <xf numFmtId="0" fontId="73" fillId="11" borderId="7" xfId="0" applyFont="1" applyFill="1" applyBorder="1" applyAlignment="1">
      <alignment horizontal="left" vertical="center"/>
    </xf>
    <xf numFmtId="3" fontId="23" fillId="11" borderId="12" xfId="0" applyNumberFormat="1" applyFont="1" applyFill="1" applyBorder="1" applyAlignment="1">
      <alignment horizontal="center" vertical="center"/>
    </xf>
    <xf numFmtId="3" fontId="23" fillId="11" borderId="11" xfId="0" applyNumberFormat="1" applyFont="1" applyFill="1" applyBorder="1" applyAlignment="1">
      <alignment horizontal="center" vertical="center"/>
    </xf>
    <xf numFmtId="2" fontId="56" fillId="14" borderId="63" xfId="2" applyNumberFormat="1" applyFont="1" applyFill="1" applyBorder="1" applyAlignment="1" applyProtection="1">
      <alignment horizontal="center" vertical="center" wrapText="1" shrinkToFit="1"/>
    </xf>
    <xf numFmtId="2" fontId="21" fillId="14" borderId="0" xfId="0" applyNumberFormat="1" applyFont="1" applyFill="1" applyAlignment="1">
      <alignment horizontal="center" vertical="center" wrapText="1" shrinkToFit="1"/>
    </xf>
    <xf numFmtId="2" fontId="21" fillId="14" borderId="64" xfId="0" applyNumberFormat="1" applyFont="1" applyFill="1" applyBorder="1" applyAlignment="1">
      <alignment horizontal="center" vertical="center" wrapText="1" shrinkToFit="1"/>
    </xf>
    <xf numFmtId="2" fontId="21" fillId="14" borderId="29" xfId="0" applyNumberFormat="1" applyFont="1" applyFill="1" applyBorder="1" applyAlignment="1">
      <alignment horizontal="center" vertical="center" wrapText="1" shrinkToFit="1"/>
    </xf>
    <xf numFmtId="2" fontId="21" fillId="14" borderId="62" xfId="0" applyNumberFormat="1" applyFont="1" applyFill="1" applyBorder="1" applyAlignment="1">
      <alignment horizontal="center" vertical="center" wrapText="1" shrinkToFit="1"/>
    </xf>
    <xf numFmtId="2" fontId="21" fillId="14" borderId="30" xfId="0" applyNumberFormat="1" applyFont="1" applyFill="1" applyBorder="1" applyAlignment="1">
      <alignment horizontal="center" vertical="center" wrapText="1" shrinkToFit="1"/>
    </xf>
    <xf numFmtId="0" fontId="105" fillId="17" borderId="7" xfId="0" applyFont="1" applyFill="1" applyBorder="1" applyAlignment="1">
      <alignment horizontal="center"/>
    </xf>
    <xf numFmtId="0" fontId="20" fillId="17" borderId="7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/>
    </xf>
    <xf numFmtId="0" fontId="98" fillId="14" borderId="2" xfId="0" applyFont="1" applyFill="1" applyBorder="1" applyAlignment="1">
      <alignment horizontal="center" vertical="center"/>
    </xf>
    <xf numFmtId="0" fontId="16" fillId="15" borderId="15" xfId="0" applyFont="1" applyFill="1" applyBorder="1" applyAlignment="1">
      <alignment horizontal="center"/>
    </xf>
    <xf numFmtId="0" fontId="16" fillId="15" borderId="16" xfId="0" applyFont="1" applyFill="1" applyBorder="1" applyAlignment="1">
      <alignment horizontal="center"/>
    </xf>
    <xf numFmtId="0" fontId="16" fillId="15" borderId="17" xfId="0" applyFont="1" applyFill="1" applyBorder="1" applyAlignment="1">
      <alignment horizontal="center"/>
    </xf>
    <xf numFmtId="0" fontId="17" fillId="14" borderId="1" xfId="0" applyFont="1" applyFill="1" applyBorder="1" applyAlignment="1">
      <alignment vertical="center"/>
    </xf>
    <xf numFmtId="0" fontId="17" fillId="14" borderId="9" xfId="0" applyFont="1" applyFill="1" applyBorder="1" applyAlignment="1">
      <alignment vertical="center"/>
    </xf>
    <xf numFmtId="0" fontId="17" fillId="14" borderId="19" xfId="0" applyFont="1" applyFill="1" applyBorder="1" applyAlignment="1">
      <alignment vertical="center"/>
    </xf>
    <xf numFmtId="0" fontId="72" fillId="7" borderId="45" xfId="0" applyFont="1" applyFill="1" applyBorder="1" applyAlignment="1">
      <alignment vertical="top" wrapText="1"/>
    </xf>
    <xf numFmtId="0" fontId="72" fillId="7" borderId="46" xfId="0" applyFont="1" applyFill="1" applyBorder="1" applyAlignment="1">
      <alignment vertical="top" wrapText="1"/>
    </xf>
    <xf numFmtId="1" fontId="17" fillId="7" borderId="44" xfId="0" applyNumberFormat="1" applyFont="1" applyFill="1" applyBorder="1"/>
    <xf numFmtId="0" fontId="16" fillId="0" borderId="58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14" borderId="1" xfId="0" applyFont="1" applyFill="1" applyBorder="1" applyAlignment="1" applyProtection="1">
      <alignment horizontal="center" vertical="center"/>
      <protection locked="0"/>
    </xf>
    <xf numFmtId="0" fontId="16" fillId="14" borderId="9" xfId="0" applyFont="1" applyFill="1" applyBorder="1" applyAlignment="1" applyProtection="1">
      <alignment horizontal="center" vertical="center"/>
      <protection locked="0"/>
    </xf>
    <xf numFmtId="0" fontId="16" fillId="14" borderId="19" xfId="0" applyFont="1" applyFill="1" applyBorder="1" applyAlignment="1" applyProtection="1">
      <alignment horizontal="center" vertical="center"/>
      <protection locked="0"/>
    </xf>
    <xf numFmtId="0" fontId="17" fillId="3" borderId="1" xfId="0" applyFont="1" applyFill="1" applyBorder="1" applyAlignment="1">
      <alignment vertical="center"/>
    </xf>
    <xf numFmtId="0" fontId="17" fillId="3" borderId="9" xfId="0" applyFont="1" applyFill="1" applyBorder="1" applyAlignment="1">
      <alignment vertical="center"/>
    </xf>
    <xf numFmtId="0" fontId="17" fillId="3" borderId="19" xfId="0" applyFont="1" applyFill="1" applyBorder="1" applyAlignment="1">
      <alignment vertical="center"/>
    </xf>
    <xf numFmtId="0" fontId="98" fillId="3" borderId="3" xfId="0" applyFont="1" applyFill="1" applyBorder="1" applyAlignment="1">
      <alignment horizontal="center"/>
    </xf>
    <xf numFmtId="0" fontId="49" fillId="14" borderId="0" xfId="0" applyFont="1" applyFill="1" applyAlignment="1">
      <alignment horizontal="center" wrapText="1"/>
    </xf>
    <xf numFmtId="0" fontId="17" fillId="11" borderId="47" xfId="0" applyFont="1" applyFill="1" applyBorder="1" applyAlignment="1">
      <alignment horizontal="center" vertical="top" wrapText="1"/>
    </xf>
    <xf numFmtId="0" fontId="17" fillId="11" borderId="48" xfId="0" applyFont="1" applyFill="1" applyBorder="1" applyAlignment="1">
      <alignment horizontal="center" vertical="top" wrapText="1"/>
    </xf>
    <xf numFmtId="0" fontId="17" fillId="11" borderId="49" xfId="0" applyFont="1" applyFill="1" applyBorder="1" applyAlignment="1">
      <alignment horizontal="center" vertical="top" wrapText="1"/>
    </xf>
    <xf numFmtId="0" fontId="16" fillId="12" borderId="4" xfId="0" applyFont="1" applyFill="1" applyBorder="1" applyAlignment="1">
      <alignment horizontal="center" vertical="center"/>
    </xf>
    <xf numFmtId="0" fontId="16" fillId="12" borderId="2" xfId="0" applyFont="1" applyFill="1" applyBorder="1" applyAlignment="1">
      <alignment horizontal="center" vertical="center"/>
    </xf>
    <xf numFmtId="0" fontId="98" fillId="14" borderId="3" xfId="0" applyFont="1" applyFill="1" applyBorder="1" applyAlignment="1">
      <alignment horizontal="center"/>
    </xf>
    <xf numFmtId="4" fontId="17" fillId="14" borderId="1" xfId="0" applyNumberFormat="1" applyFont="1" applyFill="1" applyBorder="1" applyAlignment="1">
      <alignment horizontal="left" vertical="center"/>
    </xf>
    <xf numFmtId="4" fontId="17" fillId="14" borderId="9" xfId="0" applyNumberFormat="1" applyFont="1" applyFill="1" applyBorder="1" applyAlignment="1">
      <alignment horizontal="left" vertical="center"/>
    </xf>
    <xf numFmtId="4" fontId="17" fillId="14" borderId="19" xfId="0" applyNumberFormat="1" applyFont="1" applyFill="1" applyBorder="1" applyAlignment="1">
      <alignment horizontal="left" vertical="center"/>
    </xf>
    <xf numFmtId="171" fontId="17" fillId="14" borderId="1" xfId="0" applyNumberFormat="1" applyFont="1" applyFill="1" applyBorder="1" applyAlignment="1">
      <alignment horizontal="left" vertical="center"/>
    </xf>
    <xf numFmtId="171" fontId="17" fillId="14" borderId="9" xfId="0" applyNumberFormat="1" applyFont="1" applyFill="1" applyBorder="1" applyAlignment="1">
      <alignment horizontal="left" vertical="center"/>
    </xf>
    <xf numFmtId="171" fontId="17" fillId="14" borderId="19" xfId="0" applyNumberFormat="1" applyFont="1" applyFill="1" applyBorder="1" applyAlignment="1">
      <alignment horizontal="left" vertical="center"/>
    </xf>
    <xf numFmtId="0" fontId="21" fillId="14" borderId="1" xfId="0" applyFont="1" applyFill="1" applyBorder="1" applyAlignment="1">
      <alignment vertical="center"/>
    </xf>
    <xf numFmtId="0" fontId="21" fillId="14" borderId="9" xfId="0" applyFont="1" applyFill="1" applyBorder="1" applyAlignment="1">
      <alignment vertical="center"/>
    </xf>
    <xf numFmtId="0" fontId="21" fillId="14" borderId="19" xfId="0" applyFont="1" applyFill="1" applyBorder="1" applyAlignment="1">
      <alignment vertical="center"/>
    </xf>
    <xf numFmtId="1" fontId="17" fillId="3" borderId="1" xfId="0" applyNumberFormat="1" applyFont="1" applyFill="1" applyBorder="1" applyAlignment="1">
      <alignment horizontal="left" vertical="center"/>
    </xf>
    <xf numFmtId="1" fontId="17" fillId="3" borderId="9" xfId="0" applyNumberFormat="1" applyFont="1" applyFill="1" applyBorder="1" applyAlignment="1">
      <alignment horizontal="left" vertical="center"/>
    </xf>
    <xf numFmtId="1" fontId="17" fillId="3" borderId="19" xfId="0" applyNumberFormat="1" applyFont="1" applyFill="1" applyBorder="1" applyAlignment="1">
      <alignment horizontal="left" vertical="center"/>
    </xf>
    <xf numFmtId="0" fontId="82" fillId="11" borderId="4" xfId="0" applyFont="1" applyFill="1" applyBorder="1" applyAlignment="1">
      <alignment horizontal="left" vertical="center"/>
    </xf>
    <xf numFmtId="0" fontId="82" fillId="11" borderId="2" xfId="0" applyFont="1" applyFill="1" applyBorder="1" applyAlignment="1">
      <alignment horizontal="left" vertical="center"/>
    </xf>
    <xf numFmtId="185" fontId="23" fillId="11" borderId="12" xfId="0" applyNumberFormat="1" applyFont="1" applyFill="1" applyBorder="1" applyAlignment="1">
      <alignment horizontal="center" vertical="center"/>
    </xf>
    <xf numFmtId="185" fontId="23" fillId="11" borderId="11" xfId="0" applyNumberFormat="1" applyFont="1" applyFill="1" applyBorder="1" applyAlignment="1">
      <alignment horizontal="center" vertical="center"/>
    </xf>
    <xf numFmtId="0" fontId="75" fillId="11" borderId="6" xfId="0" applyFont="1" applyFill="1" applyBorder="1" applyAlignment="1">
      <alignment horizontal="center" vertical="center"/>
    </xf>
    <xf numFmtId="0" fontId="75" fillId="11" borderId="7" xfId="0" applyFont="1" applyFill="1" applyBorder="1" applyAlignment="1">
      <alignment horizontal="center" vertical="center"/>
    </xf>
    <xf numFmtId="0" fontId="83" fillId="11" borderId="4" xfId="0" applyFont="1" applyFill="1" applyBorder="1" applyAlignment="1">
      <alignment horizontal="left" vertical="center"/>
    </xf>
    <xf numFmtId="0" fontId="80" fillId="11" borderId="6" xfId="0" applyFont="1" applyFill="1" applyBorder="1" applyAlignment="1">
      <alignment horizontal="left" vertical="center"/>
    </xf>
    <xf numFmtId="0" fontId="80" fillId="11" borderId="7" xfId="0" applyFont="1" applyFill="1" applyBorder="1" applyAlignment="1">
      <alignment horizontal="left" vertical="center"/>
    </xf>
    <xf numFmtId="0" fontId="23" fillId="11" borderId="77" xfId="0" applyFont="1" applyFill="1" applyBorder="1" applyAlignment="1">
      <alignment horizontal="center"/>
    </xf>
    <xf numFmtId="0" fontId="23" fillId="11" borderId="66" xfId="0" applyFont="1" applyFill="1" applyBorder="1" applyAlignment="1">
      <alignment horizontal="center"/>
    </xf>
    <xf numFmtId="0" fontId="23" fillId="11" borderId="67" xfId="0" applyFont="1" applyFill="1" applyBorder="1" applyAlignment="1">
      <alignment horizontal="center"/>
    </xf>
    <xf numFmtId="0" fontId="98" fillId="14" borderId="1" xfId="0" applyFont="1" applyFill="1" applyBorder="1" applyAlignment="1">
      <alignment horizontal="center"/>
    </xf>
    <xf numFmtId="0" fontId="98" fillId="14" borderId="9" xfId="0" applyFont="1" applyFill="1" applyBorder="1" applyAlignment="1">
      <alignment horizontal="center"/>
    </xf>
    <xf numFmtId="0" fontId="98" fillId="14" borderId="10" xfId="0" applyFont="1" applyFill="1" applyBorder="1" applyAlignment="1">
      <alignment horizontal="center"/>
    </xf>
    <xf numFmtId="3" fontId="17" fillId="0" borderId="3" xfId="0" applyNumberFormat="1" applyFont="1" applyBorder="1" applyAlignment="1">
      <alignment horizontal="center" vertical="center"/>
    </xf>
    <xf numFmtId="167" fontId="17" fillId="0" borderId="3" xfId="0" applyNumberFormat="1" applyFont="1" applyBorder="1" applyAlignment="1">
      <alignment horizontal="center" vertical="center"/>
    </xf>
    <xf numFmtId="0" fontId="6" fillId="0" borderId="0" xfId="0" applyFon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19" borderId="0" xfId="0" applyFont="1" applyFill="1" applyAlignment="1">
      <alignment horizontal="center"/>
    </xf>
    <xf numFmtId="0" fontId="133" fillId="24" borderId="0" xfId="0" applyFont="1" applyFill="1" applyAlignment="1">
      <alignment horizontal="center" vertical="center"/>
    </xf>
    <xf numFmtId="0" fontId="0" fillId="25" borderId="3" xfId="0" applyFill="1" applyBorder="1" applyAlignment="1">
      <alignment horizontal="center"/>
    </xf>
    <xf numFmtId="0" fontId="133" fillId="24" borderId="65" xfId="0" applyFont="1" applyFill="1" applyBorder="1" applyAlignment="1">
      <alignment horizontal="center" vertical="center"/>
    </xf>
    <xf numFmtId="0" fontId="133" fillId="24" borderId="66" xfId="0" applyFont="1" applyFill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Normal 2" xfId="1" xr:uid="{00000000-0005-0000-0000-000002000000}"/>
  </cellStyles>
  <dxfs count="5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64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9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45"/>
      <tableStyleElement type="headerRow" dxfId="544"/>
    </tableStyle>
  </tableStyles>
  <colors>
    <mruColors>
      <color rgb="FF6699FF"/>
      <color rgb="FF0066FF"/>
      <color rgb="FF0033CC"/>
      <color rgb="FF0000FF"/>
      <color rgb="FFFF9900"/>
      <color rgb="FF0000E2"/>
      <color rgb="FF66FF66"/>
      <color rgb="FFFF66FF"/>
      <color rgb="FFFF66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$O$6" fmlaRange="$I$95:$I$248" sel="2" val="0"/>
</file>

<file path=xl/ctrlProps/ctrlProp2.xml><?xml version="1.0" encoding="utf-8"?>
<formControlPr xmlns="http://schemas.microsoft.com/office/spreadsheetml/2009/9/main" objectType="Drop" dropStyle="combo" dx="16" fmlaLink="$O$6" fmlaRange="$I$95:$I$248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12.wmf"/><Relationship Id="rId4" Type="http://schemas.openxmlformats.org/officeDocument/2006/relationships/image" Target="../media/image6.wmf"/><Relationship Id="rId9" Type="http://schemas.openxmlformats.org/officeDocument/2006/relationships/image" Target="../media/image11.w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wmf"/><Relationship Id="rId3" Type="http://schemas.openxmlformats.org/officeDocument/2006/relationships/image" Target="../media/image5.wmf"/><Relationship Id="rId7" Type="http://schemas.openxmlformats.org/officeDocument/2006/relationships/image" Target="../media/image9.wmf"/><Relationship Id="rId2" Type="http://schemas.openxmlformats.org/officeDocument/2006/relationships/image" Target="../media/image4.wmf"/><Relationship Id="rId1" Type="http://schemas.openxmlformats.org/officeDocument/2006/relationships/image" Target="../media/image3.emf"/><Relationship Id="rId6" Type="http://schemas.openxmlformats.org/officeDocument/2006/relationships/image" Target="../media/image8.wmf"/><Relationship Id="rId5" Type="http://schemas.openxmlformats.org/officeDocument/2006/relationships/image" Target="../media/image7.wmf"/><Relationship Id="rId10" Type="http://schemas.openxmlformats.org/officeDocument/2006/relationships/image" Target="../media/image34.emf"/><Relationship Id="rId4" Type="http://schemas.openxmlformats.org/officeDocument/2006/relationships/image" Target="../media/image6.wmf"/><Relationship Id="rId9" Type="http://schemas.openxmlformats.org/officeDocument/2006/relationships/image" Target="../media/image12.wmf"/></Relationships>
</file>

<file path=xl/drawings/_rels/vmlDrawing22.v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25977</xdr:colOff>
      <xdr:row>16</xdr:row>
      <xdr:rowOff>138546</xdr:rowOff>
    </xdr:from>
    <xdr:to>
      <xdr:col>13</xdr:col>
      <xdr:colOff>380133</xdr:colOff>
      <xdr:row>20</xdr:row>
      <xdr:rowOff>138547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44995" y="3228110"/>
          <a:ext cx="3706957" cy="78971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8203" name="Object 11" hidden="1">
              <a:extLst>
                <a:ext uri="{63B3BB69-23CF-44E3-9099-C40C66FF867C}">
                  <a14:compatExt spid="_x0000_s8203"/>
                </a:ext>
                <a:ext uri="{FF2B5EF4-FFF2-40B4-BE49-F238E27FC236}">
                  <a16:creationId xmlns:a16="http://schemas.microsoft.com/office/drawing/2014/main" id="{00000000-0008-0000-0300-00000B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8204" name="Object 12" hidden="1">
              <a:extLst>
                <a:ext uri="{63B3BB69-23CF-44E3-9099-C40C66FF867C}">
                  <a14:compatExt spid="_x0000_s8204"/>
                </a:ext>
                <a:ext uri="{FF2B5EF4-FFF2-40B4-BE49-F238E27FC236}">
                  <a16:creationId xmlns:a16="http://schemas.microsoft.com/office/drawing/2014/main" id="{00000000-0008-0000-0300-00000C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664350" y="1924050"/>
          <a:ext cx="2914650" cy="4667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53600" y="6972300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511575" y="1990725"/>
          <a:ext cx="1733550" cy="34664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7844075" y="1981200"/>
          <a:ext cx="4819650" cy="35242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4054375" y="6915150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88750" y="3400425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41125" y="4067175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226825" y="4781549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23710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89475" y="409575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5495925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18650" y="3486150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961500" y="40862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47200" y="5495925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2875775" y="4676774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680639" y="4676774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170425" y="5495925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7685900" y="2647950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8019275" y="3028950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04298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0" y="112109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2312551" y="120110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579750" y="104965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6494025" y="8420100"/>
          <a:ext cx="3914775" cy="137160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8206" name="Object 14" hidden="1">
              <a:extLst>
                <a:ext uri="{63B3BB69-23CF-44E3-9099-C40C66FF867C}">
                  <a14:compatExt spid="_x0000_s8206"/>
                </a:ext>
                <a:ext uri="{FF2B5EF4-FFF2-40B4-BE49-F238E27FC236}">
                  <a16:creationId xmlns:a16="http://schemas.microsoft.com/office/drawing/2014/main" id="{00000000-0008-0000-0300-00000E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8207" name="Object 15" hidden="1">
              <a:extLst>
                <a:ext uri="{63B3BB69-23CF-44E3-9099-C40C66FF867C}">
                  <a14:compatExt spid="_x0000_s8207"/>
                </a:ext>
                <a:ext uri="{FF2B5EF4-FFF2-40B4-BE49-F238E27FC236}">
                  <a16:creationId xmlns:a16="http://schemas.microsoft.com/office/drawing/2014/main" id="{00000000-0008-0000-0300-00000F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8208" name="Object 16" hidden="1">
              <a:extLst>
                <a:ext uri="{63B3BB69-23CF-44E3-9099-C40C66FF867C}">
                  <a14:compatExt spid="_x0000_s8208"/>
                </a:ext>
                <a:ext uri="{FF2B5EF4-FFF2-40B4-BE49-F238E27FC236}">
                  <a16:creationId xmlns:a16="http://schemas.microsoft.com/office/drawing/2014/main" id="{00000000-0008-0000-0300-000010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00000000-0008-0000-0300-00001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00000000-0008-0000-0300-00001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00000000-0008-0000-0300-000013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160020</xdr:colOff>
          <xdr:row>38</xdr:row>
          <xdr:rowOff>175260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00000000-0008-0000-0300-00001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0000000-0008-0000-0300-00001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00000000-0008-0000-0300-000017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110838</xdr:colOff>
      <xdr:row>17</xdr:row>
      <xdr:rowOff>1733</xdr:rowOff>
    </xdr:from>
    <xdr:to>
      <xdr:col>12</xdr:col>
      <xdr:colOff>1181101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9856" y="3326824"/>
          <a:ext cx="2718954" cy="78797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9227" name="Object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9228" name="Object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9230" name="Object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9231" name="Object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9232" name="Object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83820</xdr:colOff>
          <xdr:row>38</xdr:row>
          <xdr:rowOff>152400</xdr:rowOff>
        </xdr:from>
        <xdr:to>
          <xdr:col>9</xdr:col>
          <xdr:colOff>457200</xdr:colOff>
          <xdr:row>43</xdr:row>
          <xdr:rowOff>175260</xdr:rowOff>
        </xdr:to>
        <xdr:sp macro="" textlink="">
          <xdr:nvSpPr>
            <xdr:cNvPr id="9256" name="Object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200025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0251" name="Object 11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id="{00000000-0008-0000-0500-00000B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0252" name="Object 12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id="{00000000-0008-0000-0500-00000C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0254" name="Object 14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id="{00000000-0008-0000-0500-00000E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0255" name="Object 15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id="{00000000-0008-0000-0500-00000F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0256" name="Object 16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id="{00000000-0008-0000-0500-000010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00000000-0008-0000-0500-00001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0000000-0008-0000-0500-000012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00000000-0008-0000-0500-00001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00000000-0008-0000-0500-00001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00000000-0008-0000-0500-000017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518160</xdr:colOff>
          <xdr:row>38</xdr:row>
          <xdr:rowOff>182880</xdr:rowOff>
        </xdr:from>
        <xdr:to>
          <xdr:col>10</xdr:col>
          <xdr:colOff>68580</xdr:colOff>
          <xdr:row>43</xdr:row>
          <xdr:rowOff>198120</xdr:rowOff>
        </xdr:to>
        <xdr:sp macro="" textlink="">
          <xdr:nvSpPr>
            <xdr:cNvPr id="10280" name="Object 40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id="{00000000-0008-0000-0500-000028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06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1276" name="Object 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06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:a16="http://schemas.microsoft.com/office/drawing/2014/main" id="{00000000-0008-0000-0600-00000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1279" name="Object 15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:a16="http://schemas.microsoft.com/office/drawing/2014/main" id="{00000000-0008-0000-0600-00000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1280" name="Object 16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:a16="http://schemas.microsoft.com/office/drawing/2014/main" id="{00000000-0008-0000-0600-000010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00000000-0008-0000-0600-00001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00000000-0008-0000-0600-00001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00000000-0008-0000-0600-00001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00000000-0008-0000-0600-00001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00000000-0008-0000-0600-00001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464820</xdr:colOff>
          <xdr:row>38</xdr:row>
          <xdr:rowOff>228600</xdr:rowOff>
        </xdr:from>
        <xdr:to>
          <xdr:col>9</xdr:col>
          <xdr:colOff>838200</xdr:colOff>
          <xdr:row>43</xdr:row>
          <xdr:rowOff>251460</xdr:rowOff>
        </xdr:to>
        <xdr:sp macro="" textlink="">
          <xdr:nvSpPr>
            <xdr:cNvPr id="11304" name="Object 40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:a16="http://schemas.microsoft.com/office/drawing/2014/main" id="{00000000-0008-0000-0600-00002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202406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2299" name="Object 11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7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2300" name="Object 12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7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2302" name="Object 14" hidden="1">
              <a:extLst>
                <a:ext uri="{63B3BB69-23CF-44E3-9099-C40C66FF867C}">
                  <a14:compatExt spid="_x0000_s12302"/>
                </a:ext>
                <a:ext uri="{FF2B5EF4-FFF2-40B4-BE49-F238E27FC236}">
                  <a16:creationId xmlns:a16="http://schemas.microsoft.com/office/drawing/2014/main" id="{00000000-0008-0000-0700-00000E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2303" name="Object 15" hidden="1">
              <a:extLst>
                <a:ext uri="{63B3BB69-23CF-44E3-9099-C40C66FF867C}">
                  <a14:compatExt spid="_x0000_s12303"/>
                </a:ext>
                <a:ext uri="{FF2B5EF4-FFF2-40B4-BE49-F238E27FC236}">
                  <a16:creationId xmlns:a16="http://schemas.microsoft.com/office/drawing/2014/main" id="{00000000-0008-0000-0700-00000F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2304" name="Object 16" hidden="1">
              <a:extLst>
                <a:ext uri="{63B3BB69-23CF-44E3-9099-C40C66FF867C}">
                  <a14:compatExt spid="_x0000_s12304"/>
                </a:ext>
                <a:ext uri="{FF2B5EF4-FFF2-40B4-BE49-F238E27FC236}">
                  <a16:creationId xmlns:a16="http://schemas.microsoft.com/office/drawing/2014/main" id="{00000000-0008-0000-0700-000010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00000000-0008-0000-0700-00001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00000000-0008-0000-0700-00001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00000000-0008-0000-0700-00001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00000000-0008-0000-0700-00001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00000000-0008-0000-0700-00001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2328" name="Object 40" hidden="1">
              <a:extLst>
                <a:ext uri="{63B3BB69-23CF-44E3-9099-C40C66FF867C}">
                  <a14:compatExt spid="_x0000_s12328"/>
                </a:ext>
                <a:ext uri="{FF2B5EF4-FFF2-40B4-BE49-F238E27FC236}">
                  <a16:creationId xmlns:a16="http://schemas.microsoft.com/office/drawing/2014/main" id="{00000000-0008-0000-0700-00002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204108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3323" name="Object 11" hidden="1">
              <a:extLst>
                <a:ext uri="{63B3BB69-23CF-44E3-9099-C40C66FF867C}">
                  <a14:compatExt spid="_x0000_s13323"/>
                </a:ext>
                <a:ext uri="{FF2B5EF4-FFF2-40B4-BE49-F238E27FC236}">
                  <a16:creationId xmlns:a16="http://schemas.microsoft.com/office/drawing/2014/main" id="{00000000-0008-0000-0800-00000B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3324" name="Object 12" hidden="1">
              <a:extLst>
                <a:ext uri="{63B3BB69-23CF-44E3-9099-C40C66FF867C}">
                  <a14:compatExt spid="_x0000_s13324"/>
                </a:ext>
                <a:ext uri="{FF2B5EF4-FFF2-40B4-BE49-F238E27FC236}">
                  <a16:creationId xmlns:a16="http://schemas.microsoft.com/office/drawing/2014/main" id="{00000000-0008-0000-0800-00000C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3326" name="Object 14" hidden="1">
              <a:extLst>
                <a:ext uri="{63B3BB69-23CF-44E3-9099-C40C66FF867C}">
                  <a14:compatExt spid="_x0000_s13326"/>
                </a:ext>
                <a:ext uri="{FF2B5EF4-FFF2-40B4-BE49-F238E27FC236}">
                  <a16:creationId xmlns:a16="http://schemas.microsoft.com/office/drawing/2014/main" id="{00000000-0008-0000-0800-00000E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3327" name="Object 15" hidden="1">
              <a:extLst>
                <a:ext uri="{63B3BB69-23CF-44E3-9099-C40C66FF867C}">
                  <a14:compatExt spid="_x0000_s13327"/>
                </a:ext>
                <a:ext uri="{FF2B5EF4-FFF2-40B4-BE49-F238E27FC236}">
                  <a16:creationId xmlns:a16="http://schemas.microsoft.com/office/drawing/2014/main" id="{00000000-0008-0000-0800-00000F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3328" name="Object 16" hidden="1">
              <a:extLst>
                <a:ext uri="{63B3BB69-23CF-44E3-9099-C40C66FF867C}">
                  <a14:compatExt spid="_x0000_s13328"/>
                </a:ext>
                <a:ext uri="{FF2B5EF4-FFF2-40B4-BE49-F238E27FC236}">
                  <a16:creationId xmlns:a16="http://schemas.microsoft.com/office/drawing/2014/main" id="{00000000-0008-0000-0800-000010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00000000-0008-0000-0800-00001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00000000-0008-0000-0800-00001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00000000-0008-0000-0800-00001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00000000-0008-0000-0800-00001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00000000-0008-0000-0800-00001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1059180</xdr:colOff>
          <xdr:row>43</xdr:row>
          <xdr:rowOff>251460</xdr:rowOff>
        </xdr:to>
        <xdr:sp macro="" textlink="">
          <xdr:nvSpPr>
            <xdr:cNvPr id="13352" name="Object 40" hidden="1">
              <a:extLst>
                <a:ext uri="{63B3BB69-23CF-44E3-9099-C40C66FF867C}">
                  <a14:compatExt spid="_x0000_s13352"/>
                </a:ext>
                <a:ext uri="{FF2B5EF4-FFF2-40B4-BE49-F238E27FC236}">
                  <a16:creationId xmlns:a16="http://schemas.microsoft.com/office/drawing/2014/main" id="{00000000-0008-0000-0800-00002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4347" name="Object 11" hidden="1">
              <a:extLst>
                <a:ext uri="{63B3BB69-23CF-44E3-9099-C40C66FF867C}">
                  <a14:compatExt spid="_x0000_s14347"/>
                </a:ext>
                <a:ext uri="{FF2B5EF4-FFF2-40B4-BE49-F238E27FC236}">
                  <a16:creationId xmlns:a16="http://schemas.microsoft.com/office/drawing/2014/main" id="{00000000-0008-0000-0900-00000B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4348" name="Object 12" hidden="1">
              <a:extLst>
                <a:ext uri="{63B3BB69-23CF-44E3-9099-C40C66FF867C}">
                  <a14:compatExt spid="_x0000_s14348"/>
                </a:ext>
                <a:ext uri="{FF2B5EF4-FFF2-40B4-BE49-F238E27FC236}">
                  <a16:creationId xmlns:a16="http://schemas.microsoft.com/office/drawing/2014/main" id="{00000000-0008-0000-0900-00000C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4350" name="Object 14" hidden="1">
              <a:extLst>
                <a:ext uri="{63B3BB69-23CF-44E3-9099-C40C66FF867C}">
                  <a14:compatExt spid="_x0000_s14350"/>
                </a:ext>
                <a:ext uri="{FF2B5EF4-FFF2-40B4-BE49-F238E27FC236}">
                  <a16:creationId xmlns:a16="http://schemas.microsoft.com/office/drawing/2014/main" id="{00000000-0008-0000-0900-00000E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4351" name="Object 15" hidden="1">
              <a:extLst>
                <a:ext uri="{63B3BB69-23CF-44E3-9099-C40C66FF867C}">
                  <a14:compatExt spid="_x0000_s14351"/>
                </a:ext>
                <a:ext uri="{FF2B5EF4-FFF2-40B4-BE49-F238E27FC236}">
                  <a16:creationId xmlns:a16="http://schemas.microsoft.com/office/drawing/2014/main" id="{00000000-0008-0000-0900-00000F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4352" name="Object 16" hidden="1">
              <a:extLst>
                <a:ext uri="{63B3BB69-23CF-44E3-9099-C40C66FF867C}">
                  <a14:compatExt spid="_x0000_s14352"/>
                </a:ext>
                <a:ext uri="{FF2B5EF4-FFF2-40B4-BE49-F238E27FC236}">
                  <a16:creationId xmlns:a16="http://schemas.microsoft.com/office/drawing/2014/main" id="{00000000-0008-0000-0900-000010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00000000-0008-0000-0900-00001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00000000-0008-0000-0900-00001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00000000-0008-0000-0900-00001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00000000-0008-0000-0900-00001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00000000-0008-0000-0900-00001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236220</xdr:rowOff>
        </xdr:from>
        <xdr:to>
          <xdr:col>9</xdr:col>
          <xdr:colOff>861060</xdr:colOff>
          <xdr:row>43</xdr:row>
          <xdr:rowOff>259080</xdr:rowOff>
        </xdr:to>
        <xdr:sp macro="" textlink="">
          <xdr:nvSpPr>
            <xdr:cNvPr id="14376" name="Object 40" hidden="1">
              <a:extLst>
                <a:ext uri="{63B3BB69-23CF-44E3-9099-C40C66FF867C}">
                  <a14:compatExt spid="_x0000_s14376"/>
                </a:ext>
                <a:ext uri="{FF2B5EF4-FFF2-40B4-BE49-F238E27FC236}">
                  <a16:creationId xmlns:a16="http://schemas.microsoft.com/office/drawing/2014/main" id="{00000000-0008-0000-0900-00002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4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5371" name="Object 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0A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5372" name="Object 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0A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131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20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78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9" name="Picture 1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310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521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1" name="Picture 1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55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2" name="Picture 2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807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3" name="Picture 3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693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703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5" name="Picture 2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56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85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428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9" name="Picture 3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14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30" name="Picture 4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342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1" name="Picture 5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147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2" name="Picture 6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637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3" name="Picture 14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152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4" name="Picture 15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486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7" name="Picture 1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3779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8" name="Picture 3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046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9" name="Picture 4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7960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5374" name="Object 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0A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5375" name="Object 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0A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5376" name="Object 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0A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5377" name="Object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0A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0A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00000000-0008-0000-0A00-00001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00000000-0008-0000-0A00-00001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00000000-0008-0000-0A00-00001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114300</xdr:rowOff>
        </xdr:from>
        <xdr:to>
          <xdr:col>9</xdr:col>
          <xdr:colOff>571500</xdr:colOff>
          <xdr:row>43</xdr:row>
          <xdr:rowOff>137160</xdr:rowOff>
        </xdr:to>
        <xdr:sp macro="" textlink="">
          <xdr:nvSpPr>
            <xdr:cNvPr id="15400" name="Object 40" hidden="1">
              <a:extLst>
                <a:ext uri="{63B3BB69-23CF-44E3-9099-C40C66FF867C}">
                  <a14:compatExt spid="_x0000_s15400"/>
                </a:ext>
                <a:ext uri="{FF2B5EF4-FFF2-40B4-BE49-F238E27FC236}">
                  <a16:creationId xmlns:a16="http://schemas.microsoft.com/office/drawing/2014/main" id="{00000000-0008-0000-0A00-00002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6394" name="Object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0000000-0008-0000-0B00-00000A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6395" name="Object 11" hidden="1">
              <a:extLst>
                <a:ext uri="{63B3BB69-23CF-44E3-9099-C40C66FF867C}">
                  <a14:compatExt spid="_x0000_s16395"/>
                </a:ext>
                <a:ext uri="{FF2B5EF4-FFF2-40B4-BE49-F238E27FC236}">
                  <a16:creationId xmlns:a16="http://schemas.microsoft.com/office/drawing/2014/main" id="{00000000-0008-0000-0B00-00000B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6397" name="Object 13" hidden="1">
              <a:extLst>
                <a:ext uri="{63B3BB69-23CF-44E3-9099-C40C66FF867C}">
                  <a14:compatExt spid="_x0000_s16397"/>
                </a:ext>
                <a:ext uri="{FF2B5EF4-FFF2-40B4-BE49-F238E27FC236}">
                  <a16:creationId xmlns:a16="http://schemas.microsoft.com/office/drawing/2014/main" id="{00000000-0008-0000-0B00-00000D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6398" name="Object 14" hidden="1">
              <a:extLst>
                <a:ext uri="{63B3BB69-23CF-44E3-9099-C40C66FF867C}">
                  <a14:compatExt spid="_x0000_s16398"/>
                </a:ext>
                <a:ext uri="{FF2B5EF4-FFF2-40B4-BE49-F238E27FC236}">
                  <a16:creationId xmlns:a16="http://schemas.microsoft.com/office/drawing/2014/main" id="{00000000-0008-0000-0B00-00000E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6399" name="Object 15" hidden="1">
              <a:extLst>
                <a:ext uri="{63B3BB69-23CF-44E3-9099-C40C66FF867C}">
                  <a14:compatExt spid="_x0000_s16399"/>
                </a:ext>
                <a:ext uri="{FF2B5EF4-FFF2-40B4-BE49-F238E27FC236}">
                  <a16:creationId xmlns:a16="http://schemas.microsoft.com/office/drawing/2014/main" id="{00000000-0008-0000-0B00-00000F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6400" name="Object 16" hidden="1">
              <a:extLst>
                <a:ext uri="{63B3BB69-23CF-44E3-9099-C40C66FF867C}">
                  <a14:compatExt spid="_x0000_s16400"/>
                </a:ext>
                <a:ext uri="{FF2B5EF4-FFF2-40B4-BE49-F238E27FC236}">
                  <a16:creationId xmlns:a16="http://schemas.microsoft.com/office/drawing/2014/main" id="{00000000-0008-0000-0B00-000010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00000000-0008-0000-0B00-00001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00000000-0008-0000-0B00-00001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00000000-0008-0000-0B00-00001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00000000-0008-0000-0B00-00001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137160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6423" name="Object 39" hidden="1">
              <a:extLst>
                <a:ext uri="{63B3BB69-23CF-44E3-9099-C40C66FF867C}">
                  <a14:compatExt spid="_x0000_s16423"/>
                </a:ext>
                <a:ext uri="{FF2B5EF4-FFF2-40B4-BE49-F238E27FC236}">
                  <a16:creationId xmlns:a16="http://schemas.microsoft.com/office/drawing/2014/main" id="{00000000-0008-0000-0B00-00002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5095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7418" name="Object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0C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7419" name="Object 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0C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7421" name="Object 13" hidden="1">
              <a:extLst>
                <a:ext uri="{63B3BB69-23CF-44E3-9099-C40C66FF867C}">
                  <a14:compatExt spid="_x0000_s17421"/>
                </a:ext>
                <a:ext uri="{FF2B5EF4-FFF2-40B4-BE49-F238E27FC236}">
                  <a16:creationId xmlns:a16="http://schemas.microsoft.com/office/drawing/2014/main" id="{00000000-0008-0000-0C00-00000D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7422" name="Object 14" hidden="1">
              <a:extLst>
                <a:ext uri="{63B3BB69-23CF-44E3-9099-C40C66FF867C}">
                  <a14:compatExt spid="_x0000_s17422"/>
                </a:ext>
                <a:ext uri="{FF2B5EF4-FFF2-40B4-BE49-F238E27FC236}">
                  <a16:creationId xmlns:a16="http://schemas.microsoft.com/office/drawing/2014/main" id="{00000000-0008-0000-0C00-00000E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7423" name="Object 15" hidden="1">
              <a:extLst>
                <a:ext uri="{63B3BB69-23CF-44E3-9099-C40C66FF867C}">
                  <a14:compatExt spid="_x0000_s17423"/>
                </a:ext>
                <a:ext uri="{FF2B5EF4-FFF2-40B4-BE49-F238E27FC236}">
                  <a16:creationId xmlns:a16="http://schemas.microsoft.com/office/drawing/2014/main" id="{00000000-0008-0000-0C00-00000F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7424" name="Object 16" hidden="1">
              <a:extLst>
                <a:ext uri="{63B3BB69-23CF-44E3-9099-C40C66FF867C}">
                  <a14:compatExt spid="_x0000_s17424"/>
                </a:ext>
                <a:ext uri="{FF2B5EF4-FFF2-40B4-BE49-F238E27FC236}">
                  <a16:creationId xmlns:a16="http://schemas.microsoft.com/office/drawing/2014/main" id="{00000000-0008-0000-0C00-000010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00000000-0008-0000-0C00-00001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00000000-0008-0000-0C00-00001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00000000-0008-0000-0C00-00001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00000000-0008-0000-0C00-00001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38</xdr:row>
          <xdr:rowOff>114300</xdr:rowOff>
        </xdr:from>
        <xdr:to>
          <xdr:col>9</xdr:col>
          <xdr:colOff>1143000</xdr:colOff>
          <xdr:row>43</xdr:row>
          <xdr:rowOff>137160</xdr:rowOff>
        </xdr:to>
        <xdr:sp macro="" textlink="">
          <xdr:nvSpPr>
            <xdr:cNvPr id="17448" name="Object 40" hidden="1">
              <a:extLst>
                <a:ext uri="{63B3BB69-23CF-44E3-9099-C40C66FF867C}">
                  <a14:compatExt spid="_x0000_s17448"/>
                </a:ext>
                <a:ext uri="{FF2B5EF4-FFF2-40B4-BE49-F238E27FC236}">
                  <a16:creationId xmlns:a16="http://schemas.microsoft.com/office/drawing/2014/main" id="{00000000-0008-0000-0C00-00002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207819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D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D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D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D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D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D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D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D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D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D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175260</xdr:rowOff>
        </xdr:from>
        <xdr:to>
          <xdr:col>9</xdr:col>
          <xdr:colOff>693420</xdr:colOff>
          <xdr:row>43</xdr:row>
          <xdr:rowOff>190500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D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199159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E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E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E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E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E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E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E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E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E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E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99060</xdr:rowOff>
        </xdr:from>
        <xdr:to>
          <xdr:col>9</xdr:col>
          <xdr:colOff>655320</xdr:colOff>
          <xdr:row>43</xdr:row>
          <xdr:rowOff>114300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E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490" name="Object 10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F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491" name="Object 11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F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493" name="Object 13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F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494" name="Object 14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F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495" name="Object 15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F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496" name="Object 16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F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497" name="Object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F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F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F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F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152400</xdr:rowOff>
        </xdr:from>
        <xdr:to>
          <xdr:col>9</xdr:col>
          <xdr:colOff>723900</xdr:colOff>
          <xdr:row>43</xdr:row>
          <xdr:rowOff>175260</xdr:rowOff>
        </xdr:to>
        <xdr:sp macro="" textlink="">
          <xdr:nvSpPr>
            <xdr:cNvPr id="20520" name="Object 40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F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1546860</xdr:colOff>
          <xdr:row>3</xdr:row>
          <xdr:rowOff>144780</xdr:rowOff>
        </xdr:to>
        <xdr:sp macro="" textlink="">
          <xdr:nvSpPr>
            <xdr:cNvPr id="21510" name="Drop Down 6" hidden="1">
              <a:extLst>
                <a:ext uri="{63B3BB69-23CF-44E3-9099-C40C66FF867C}">
                  <a14:compatExt spid="_x0000_s21510"/>
                </a:ext>
                <a:ext uri="{FF2B5EF4-FFF2-40B4-BE49-F238E27FC236}">
                  <a16:creationId xmlns:a16="http://schemas.microsoft.com/office/drawing/2014/main" id="{00000000-0008-0000-1000-00000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180976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1514" name="Object 10" hidden="1">
              <a:extLst>
                <a:ext uri="{63B3BB69-23CF-44E3-9099-C40C66FF867C}">
                  <a14:compatExt spid="_x0000_s21514"/>
                </a:ext>
                <a:ext uri="{FF2B5EF4-FFF2-40B4-BE49-F238E27FC236}">
                  <a16:creationId xmlns:a16="http://schemas.microsoft.com/office/drawing/2014/main" id="{00000000-0008-0000-1000-00000A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1515" name="Object 11" hidden="1">
              <a:extLst>
                <a:ext uri="{63B3BB69-23CF-44E3-9099-C40C66FF867C}">
                  <a14:compatExt spid="_x0000_s21515"/>
                </a:ext>
                <a:ext uri="{FF2B5EF4-FFF2-40B4-BE49-F238E27FC236}">
                  <a16:creationId xmlns:a16="http://schemas.microsoft.com/office/drawing/2014/main" id="{00000000-0008-0000-1000-00000B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1517" name="Object 13" hidden="1">
              <a:extLst>
                <a:ext uri="{63B3BB69-23CF-44E3-9099-C40C66FF867C}">
                  <a14:compatExt spid="_x0000_s21517"/>
                </a:ext>
                <a:ext uri="{FF2B5EF4-FFF2-40B4-BE49-F238E27FC236}">
                  <a16:creationId xmlns:a16="http://schemas.microsoft.com/office/drawing/2014/main" id="{00000000-0008-0000-1000-00000D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1518" name="Object 14" hidden="1">
              <a:extLst>
                <a:ext uri="{63B3BB69-23CF-44E3-9099-C40C66FF867C}">
                  <a14:compatExt spid="_x0000_s21518"/>
                </a:ext>
                <a:ext uri="{FF2B5EF4-FFF2-40B4-BE49-F238E27FC236}">
                  <a16:creationId xmlns:a16="http://schemas.microsoft.com/office/drawing/2014/main" id="{00000000-0008-0000-1000-00000E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1519" name="Object 15" hidden="1">
              <a:extLst>
                <a:ext uri="{63B3BB69-23CF-44E3-9099-C40C66FF867C}">
                  <a14:compatExt spid="_x0000_s21519"/>
                </a:ext>
                <a:ext uri="{FF2B5EF4-FFF2-40B4-BE49-F238E27FC236}">
                  <a16:creationId xmlns:a16="http://schemas.microsoft.com/office/drawing/2014/main" id="{00000000-0008-0000-1000-00000F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1520" name="Object 16" hidden="1">
              <a:extLst>
                <a:ext uri="{63B3BB69-23CF-44E3-9099-C40C66FF867C}">
                  <a14:compatExt spid="_x0000_s21520"/>
                </a:ext>
                <a:ext uri="{FF2B5EF4-FFF2-40B4-BE49-F238E27FC236}">
                  <a16:creationId xmlns:a16="http://schemas.microsoft.com/office/drawing/2014/main" id="{00000000-0008-0000-1000-000010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0000000-0008-0000-1000-00001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00000000-0008-0000-1000-000012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00000000-0008-0000-1000-000015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00000000-0008-0000-1000-000016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563880</xdr:colOff>
          <xdr:row>38</xdr:row>
          <xdr:rowOff>289560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21544" name="Object 40" hidden="1">
              <a:extLst>
                <a:ext uri="{63B3BB69-23CF-44E3-9099-C40C66FF867C}">
                  <a14:compatExt spid="_x0000_s21544"/>
                </a:ext>
                <a:ext uri="{FF2B5EF4-FFF2-40B4-BE49-F238E27FC236}">
                  <a16:creationId xmlns:a16="http://schemas.microsoft.com/office/drawing/2014/main" id="{00000000-0008-0000-1000-000028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21</xdr:row>
      <xdr:rowOff>21983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2538" name="Object 10" hidden="1">
              <a:extLst>
                <a:ext uri="{63B3BB69-23CF-44E3-9099-C40C66FF867C}">
                  <a14:compatExt spid="_x0000_s22538"/>
                </a:ext>
                <a:ext uri="{FF2B5EF4-FFF2-40B4-BE49-F238E27FC236}">
                  <a16:creationId xmlns:a16="http://schemas.microsoft.com/office/drawing/2014/main" id="{00000000-0008-0000-1100-00000A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2539" name="Object 11" hidden="1">
              <a:extLst>
                <a:ext uri="{63B3BB69-23CF-44E3-9099-C40C66FF867C}">
                  <a14:compatExt spid="_x0000_s22539"/>
                </a:ext>
                <a:ext uri="{FF2B5EF4-FFF2-40B4-BE49-F238E27FC236}">
                  <a16:creationId xmlns:a16="http://schemas.microsoft.com/office/drawing/2014/main" id="{00000000-0008-0000-1100-00000B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2541" name="Object 13" hidden="1">
              <a:extLst>
                <a:ext uri="{63B3BB69-23CF-44E3-9099-C40C66FF867C}">
                  <a14:compatExt spid="_x0000_s22541"/>
                </a:ext>
                <a:ext uri="{FF2B5EF4-FFF2-40B4-BE49-F238E27FC236}">
                  <a16:creationId xmlns:a16="http://schemas.microsoft.com/office/drawing/2014/main" id="{00000000-0008-0000-1100-00000D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2542" name="Object 14" hidden="1">
              <a:extLst>
                <a:ext uri="{63B3BB69-23CF-44E3-9099-C40C66FF867C}">
                  <a14:compatExt spid="_x0000_s22542"/>
                </a:ext>
                <a:ext uri="{FF2B5EF4-FFF2-40B4-BE49-F238E27FC236}">
                  <a16:creationId xmlns:a16="http://schemas.microsoft.com/office/drawing/2014/main" id="{00000000-0008-0000-1100-00000E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2543" name="Object 15" hidden="1">
              <a:extLst>
                <a:ext uri="{63B3BB69-23CF-44E3-9099-C40C66FF867C}">
                  <a14:compatExt spid="_x0000_s22543"/>
                </a:ext>
                <a:ext uri="{FF2B5EF4-FFF2-40B4-BE49-F238E27FC236}">
                  <a16:creationId xmlns:a16="http://schemas.microsoft.com/office/drawing/2014/main" id="{00000000-0008-0000-1100-00000F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2544" name="Object 16" hidden="1">
              <a:extLst>
                <a:ext uri="{63B3BB69-23CF-44E3-9099-C40C66FF867C}">
                  <a14:compatExt spid="_x0000_s22544"/>
                </a:ext>
                <a:ext uri="{FF2B5EF4-FFF2-40B4-BE49-F238E27FC236}">
                  <a16:creationId xmlns:a16="http://schemas.microsoft.com/office/drawing/2014/main" id="{00000000-0008-0000-1100-000010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2545" name="Object 17" hidden="1">
              <a:extLst>
                <a:ext uri="{63B3BB69-23CF-44E3-9099-C40C66FF867C}">
                  <a14:compatExt spid="_x0000_s22545"/>
                </a:ext>
                <a:ext uri="{FF2B5EF4-FFF2-40B4-BE49-F238E27FC236}">
                  <a16:creationId xmlns:a16="http://schemas.microsoft.com/office/drawing/2014/main" id="{00000000-0008-0000-1100-00001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2546" name="Object 18" hidden="1">
              <a:extLst>
                <a:ext uri="{63B3BB69-23CF-44E3-9099-C40C66FF867C}">
                  <a14:compatExt spid="_x0000_s22546"/>
                </a:ext>
                <a:ext uri="{FF2B5EF4-FFF2-40B4-BE49-F238E27FC236}">
                  <a16:creationId xmlns:a16="http://schemas.microsoft.com/office/drawing/2014/main" id="{00000000-0008-0000-1100-000012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2549" name="Object 21" hidden="1">
              <a:extLst>
                <a:ext uri="{63B3BB69-23CF-44E3-9099-C40C66FF867C}">
                  <a14:compatExt spid="_x0000_s22549"/>
                </a:ext>
                <a:ext uri="{FF2B5EF4-FFF2-40B4-BE49-F238E27FC236}">
                  <a16:creationId xmlns:a16="http://schemas.microsoft.com/office/drawing/2014/main" id="{00000000-0008-0000-1100-000015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2550" name="Object 22" hidden="1">
              <a:extLst>
                <a:ext uri="{63B3BB69-23CF-44E3-9099-C40C66FF867C}">
                  <a14:compatExt spid="_x0000_s22550"/>
                </a:ext>
                <a:ext uri="{FF2B5EF4-FFF2-40B4-BE49-F238E27FC236}">
                  <a16:creationId xmlns:a16="http://schemas.microsoft.com/office/drawing/2014/main" id="{00000000-0008-0000-1100-000016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121920</xdr:rowOff>
        </xdr:from>
        <xdr:to>
          <xdr:col>9</xdr:col>
          <xdr:colOff>601980</xdr:colOff>
          <xdr:row>43</xdr:row>
          <xdr:rowOff>144780</xdr:rowOff>
        </xdr:to>
        <xdr:sp macro="" textlink="">
          <xdr:nvSpPr>
            <xdr:cNvPr id="22568" name="Object 40" hidden="1">
              <a:extLst>
                <a:ext uri="{63B3BB69-23CF-44E3-9099-C40C66FF867C}">
                  <a14:compatExt spid="_x0000_s22568"/>
                </a:ext>
                <a:ext uri="{FF2B5EF4-FFF2-40B4-BE49-F238E27FC236}">
                  <a16:creationId xmlns:a16="http://schemas.microsoft.com/office/drawing/2014/main" id="{00000000-0008-0000-1100-000028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190499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3562" name="Object 10" hidden="1">
              <a:extLst>
                <a:ext uri="{63B3BB69-23CF-44E3-9099-C40C66FF867C}">
                  <a14:compatExt spid="_x0000_s23562"/>
                </a:ext>
                <a:ext uri="{FF2B5EF4-FFF2-40B4-BE49-F238E27FC236}">
                  <a16:creationId xmlns:a16="http://schemas.microsoft.com/office/drawing/2014/main" id="{00000000-0008-0000-1200-00000A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3563" name="Object 11" hidden="1">
              <a:extLst>
                <a:ext uri="{63B3BB69-23CF-44E3-9099-C40C66FF867C}">
                  <a14:compatExt spid="_x0000_s23563"/>
                </a:ext>
                <a:ext uri="{FF2B5EF4-FFF2-40B4-BE49-F238E27FC236}">
                  <a16:creationId xmlns:a16="http://schemas.microsoft.com/office/drawing/2014/main" id="{00000000-0008-0000-1200-00000B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3565" name="Object 13" hidden="1">
              <a:extLst>
                <a:ext uri="{63B3BB69-23CF-44E3-9099-C40C66FF867C}">
                  <a14:compatExt spid="_x0000_s23565"/>
                </a:ext>
                <a:ext uri="{FF2B5EF4-FFF2-40B4-BE49-F238E27FC236}">
                  <a16:creationId xmlns:a16="http://schemas.microsoft.com/office/drawing/2014/main" id="{00000000-0008-0000-1200-00000D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3566" name="Object 14" hidden="1">
              <a:extLst>
                <a:ext uri="{63B3BB69-23CF-44E3-9099-C40C66FF867C}">
                  <a14:compatExt spid="_x0000_s23566"/>
                </a:ext>
                <a:ext uri="{FF2B5EF4-FFF2-40B4-BE49-F238E27FC236}">
                  <a16:creationId xmlns:a16="http://schemas.microsoft.com/office/drawing/2014/main" id="{00000000-0008-0000-1200-00000E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3567" name="Object 15" hidden="1">
              <a:extLst>
                <a:ext uri="{63B3BB69-23CF-44E3-9099-C40C66FF867C}">
                  <a14:compatExt spid="_x0000_s23567"/>
                </a:ext>
                <a:ext uri="{FF2B5EF4-FFF2-40B4-BE49-F238E27FC236}">
                  <a16:creationId xmlns:a16="http://schemas.microsoft.com/office/drawing/2014/main" id="{00000000-0008-0000-1200-00000F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3568" name="Object 16" hidden="1">
              <a:extLst>
                <a:ext uri="{63B3BB69-23CF-44E3-9099-C40C66FF867C}">
                  <a14:compatExt spid="_x0000_s23568"/>
                </a:ext>
                <a:ext uri="{FF2B5EF4-FFF2-40B4-BE49-F238E27FC236}">
                  <a16:creationId xmlns:a16="http://schemas.microsoft.com/office/drawing/2014/main" id="{00000000-0008-0000-1200-000010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3569" name="Object 17" hidden="1">
              <a:extLst>
                <a:ext uri="{63B3BB69-23CF-44E3-9099-C40C66FF867C}">
                  <a14:compatExt spid="_x0000_s23569"/>
                </a:ext>
                <a:ext uri="{FF2B5EF4-FFF2-40B4-BE49-F238E27FC236}">
                  <a16:creationId xmlns:a16="http://schemas.microsoft.com/office/drawing/2014/main" id="{00000000-0008-0000-1200-00001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3570" name="Object 18" hidden="1">
              <a:extLst>
                <a:ext uri="{63B3BB69-23CF-44E3-9099-C40C66FF867C}">
                  <a14:compatExt spid="_x0000_s23570"/>
                </a:ext>
                <a:ext uri="{FF2B5EF4-FFF2-40B4-BE49-F238E27FC236}">
                  <a16:creationId xmlns:a16="http://schemas.microsoft.com/office/drawing/2014/main" id="{00000000-0008-0000-1200-000012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3573" name="Object 21" hidden="1">
              <a:extLst>
                <a:ext uri="{63B3BB69-23CF-44E3-9099-C40C66FF867C}">
                  <a14:compatExt spid="_x0000_s23573"/>
                </a:ext>
                <a:ext uri="{FF2B5EF4-FFF2-40B4-BE49-F238E27FC236}">
                  <a16:creationId xmlns:a16="http://schemas.microsoft.com/office/drawing/2014/main" id="{00000000-0008-0000-1200-000015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3574" name="Object 22" hidden="1">
              <a:extLst>
                <a:ext uri="{63B3BB69-23CF-44E3-9099-C40C66FF867C}">
                  <a14:compatExt spid="_x0000_s23574"/>
                </a:ext>
                <a:ext uri="{FF2B5EF4-FFF2-40B4-BE49-F238E27FC236}">
                  <a16:creationId xmlns:a16="http://schemas.microsoft.com/office/drawing/2014/main" id="{00000000-0008-0000-1200-000016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388620</xdr:colOff>
          <xdr:row>38</xdr:row>
          <xdr:rowOff>83820</xdr:rowOff>
        </xdr:from>
        <xdr:to>
          <xdr:col>9</xdr:col>
          <xdr:colOff>632460</xdr:colOff>
          <xdr:row>43</xdr:row>
          <xdr:rowOff>106680</xdr:rowOff>
        </xdr:to>
        <xdr:sp macro="" textlink="">
          <xdr:nvSpPr>
            <xdr:cNvPr id="23592" name="Object 40" hidden="1">
              <a:extLst>
                <a:ext uri="{63B3BB69-23CF-44E3-9099-C40C66FF867C}">
                  <a14:compatExt spid="_x0000_s23592"/>
                </a:ext>
                <a:ext uri="{FF2B5EF4-FFF2-40B4-BE49-F238E27FC236}">
                  <a16:creationId xmlns:a16="http://schemas.microsoft.com/office/drawing/2014/main" id="{00000000-0008-0000-1200-000028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4586" name="Object 10" hidden="1">
              <a:extLst>
                <a:ext uri="{63B3BB69-23CF-44E3-9099-C40C66FF867C}">
                  <a14:compatExt spid="_x0000_s24586"/>
                </a:ext>
                <a:ext uri="{FF2B5EF4-FFF2-40B4-BE49-F238E27FC236}">
                  <a16:creationId xmlns:a16="http://schemas.microsoft.com/office/drawing/2014/main" id="{00000000-0008-0000-1300-00000A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4587" name="Object 11" hidden="1">
              <a:extLst>
                <a:ext uri="{63B3BB69-23CF-44E3-9099-C40C66FF867C}">
                  <a14:compatExt spid="_x0000_s24587"/>
                </a:ext>
                <a:ext uri="{FF2B5EF4-FFF2-40B4-BE49-F238E27FC236}">
                  <a16:creationId xmlns:a16="http://schemas.microsoft.com/office/drawing/2014/main" id="{00000000-0008-0000-1300-00000B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4589" name="Object 13" hidden="1">
              <a:extLst>
                <a:ext uri="{63B3BB69-23CF-44E3-9099-C40C66FF867C}">
                  <a14:compatExt spid="_x0000_s24589"/>
                </a:ext>
                <a:ext uri="{FF2B5EF4-FFF2-40B4-BE49-F238E27FC236}">
                  <a16:creationId xmlns:a16="http://schemas.microsoft.com/office/drawing/2014/main" id="{00000000-0008-0000-1300-00000D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4590" name="Object 14" hidden="1">
              <a:extLst>
                <a:ext uri="{63B3BB69-23CF-44E3-9099-C40C66FF867C}">
                  <a14:compatExt spid="_x0000_s24590"/>
                </a:ext>
                <a:ext uri="{FF2B5EF4-FFF2-40B4-BE49-F238E27FC236}">
                  <a16:creationId xmlns:a16="http://schemas.microsoft.com/office/drawing/2014/main" id="{00000000-0008-0000-1300-00000E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4591" name="Object 15" hidden="1">
              <a:extLst>
                <a:ext uri="{63B3BB69-23CF-44E3-9099-C40C66FF867C}">
                  <a14:compatExt spid="_x0000_s24591"/>
                </a:ext>
                <a:ext uri="{FF2B5EF4-FFF2-40B4-BE49-F238E27FC236}">
                  <a16:creationId xmlns:a16="http://schemas.microsoft.com/office/drawing/2014/main" id="{00000000-0008-0000-1300-00000F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4592" name="Object 16" hidden="1">
              <a:extLst>
                <a:ext uri="{63B3BB69-23CF-44E3-9099-C40C66FF867C}">
                  <a14:compatExt spid="_x0000_s24592"/>
                </a:ext>
                <a:ext uri="{FF2B5EF4-FFF2-40B4-BE49-F238E27FC236}">
                  <a16:creationId xmlns:a16="http://schemas.microsoft.com/office/drawing/2014/main" id="{00000000-0008-0000-1300-000010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4593" name="Object 17" hidden="1">
              <a:extLst>
                <a:ext uri="{63B3BB69-23CF-44E3-9099-C40C66FF867C}">
                  <a14:compatExt spid="_x0000_s24593"/>
                </a:ext>
                <a:ext uri="{FF2B5EF4-FFF2-40B4-BE49-F238E27FC236}">
                  <a16:creationId xmlns:a16="http://schemas.microsoft.com/office/drawing/2014/main" id="{00000000-0008-0000-1300-000011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4594" name="Object 18" hidden="1">
              <a:extLst>
                <a:ext uri="{63B3BB69-23CF-44E3-9099-C40C66FF867C}">
                  <a14:compatExt spid="_x0000_s24594"/>
                </a:ext>
                <a:ext uri="{FF2B5EF4-FFF2-40B4-BE49-F238E27FC236}">
                  <a16:creationId xmlns:a16="http://schemas.microsoft.com/office/drawing/2014/main" id="{00000000-0008-0000-1300-00001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4597" name="Object 21" hidden="1">
              <a:extLst>
                <a:ext uri="{63B3BB69-23CF-44E3-9099-C40C66FF867C}">
                  <a14:compatExt spid="_x0000_s24597"/>
                </a:ext>
                <a:ext uri="{FF2B5EF4-FFF2-40B4-BE49-F238E27FC236}">
                  <a16:creationId xmlns:a16="http://schemas.microsoft.com/office/drawing/2014/main" id="{00000000-0008-0000-1300-000015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4598" name="Object 22" hidden="1">
              <a:extLst>
                <a:ext uri="{63B3BB69-23CF-44E3-9099-C40C66FF867C}">
                  <a14:compatExt spid="_x0000_s24598"/>
                </a:ext>
                <a:ext uri="{FF2B5EF4-FFF2-40B4-BE49-F238E27FC236}">
                  <a16:creationId xmlns:a16="http://schemas.microsoft.com/office/drawing/2014/main" id="{00000000-0008-0000-1300-000016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236220</xdr:rowOff>
        </xdr:from>
        <xdr:to>
          <xdr:col>9</xdr:col>
          <xdr:colOff>601980</xdr:colOff>
          <xdr:row>43</xdr:row>
          <xdr:rowOff>259080</xdr:rowOff>
        </xdr:to>
        <xdr:sp macro="" textlink="">
          <xdr:nvSpPr>
            <xdr:cNvPr id="24616" name="Object 40" hidden="1">
              <a:extLst>
                <a:ext uri="{63B3BB69-23CF-44E3-9099-C40C66FF867C}">
                  <a14:compatExt spid="_x0000_s24616"/>
                </a:ext>
                <a:ext uri="{FF2B5EF4-FFF2-40B4-BE49-F238E27FC236}">
                  <a16:creationId xmlns:a16="http://schemas.microsoft.com/office/drawing/2014/main" id="{00000000-0008-0000-1300-000028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200026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5610" name="Object 10" hidden="1">
              <a:extLst>
                <a:ext uri="{63B3BB69-23CF-44E3-9099-C40C66FF867C}">
                  <a14:compatExt spid="_x0000_s25610"/>
                </a:ext>
                <a:ext uri="{FF2B5EF4-FFF2-40B4-BE49-F238E27FC236}">
                  <a16:creationId xmlns:a16="http://schemas.microsoft.com/office/drawing/2014/main" id="{00000000-0008-0000-1400-00000A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5611" name="Object 11" hidden="1">
              <a:extLst>
                <a:ext uri="{63B3BB69-23CF-44E3-9099-C40C66FF867C}">
                  <a14:compatExt spid="_x0000_s25611"/>
                </a:ext>
                <a:ext uri="{FF2B5EF4-FFF2-40B4-BE49-F238E27FC236}">
                  <a16:creationId xmlns:a16="http://schemas.microsoft.com/office/drawing/2014/main" id="{00000000-0008-0000-1400-00000B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5613" name="Object 13" hidden="1">
              <a:extLst>
                <a:ext uri="{63B3BB69-23CF-44E3-9099-C40C66FF867C}">
                  <a14:compatExt spid="_x0000_s25613"/>
                </a:ext>
                <a:ext uri="{FF2B5EF4-FFF2-40B4-BE49-F238E27FC236}">
                  <a16:creationId xmlns:a16="http://schemas.microsoft.com/office/drawing/2014/main" id="{00000000-0008-0000-1400-00000D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5614" name="Object 14" hidden="1">
              <a:extLst>
                <a:ext uri="{63B3BB69-23CF-44E3-9099-C40C66FF867C}">
                  <a14:compatExt spid="_x0000_s25614"/>
                </a:ext>
                <a:ext uri="{FF2B5EF4-FFF2-40B4-BE49-F238E27FC236}">
                  <a16:creationId xmlns:a16="http://schemas.microsoft.com/office/drawing/2014/main" id="{00000000-0008-0000-1400-00000E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5615" name="Object 15" hidden="1">
              <a:extLst>
                <a:ext uri="{63B3BB69-23CF-44E3-9099-C40C66FF867C}">
                  <a14:compatExt spid="_x0000_s25615"/>
                </a:ext>
                <a:ext uri="{FF2B5EF4-FFF2-40B4-BE49-F238E27FC236}">
                  <a16:creationId xmlns:a16="http://schemas.microsoft.com/office/drawing/2014/main" id="{00000000-0008-0000-1400-00000F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5616" name="Object 16" hidden="1">
              <a:extLst>
                <a:ext uri="{63B3BB69-23CF-44E3-9099-C40C66FF867C}">
                  <a14:compatExt spid="_x0000_s25616"/>
                </a:ext>
                <a:ext uri="{FF2B5EF4-FFF2-40B4-BE49-F238E27FC236}">
                  <a16:creationId xmlns:a16="http://schemas.microsoft.com/office/drawing/2014/main" id="{00000000-0008-0000-1400-000010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5617" name="Object 17" hidden="1">
              <a:extLst>
                <a:ext uri="{63B3BB69-23CF-44E3-9099-C40C66FF867C}">
                  <a14:compatExt spid="_x0000_s25617"/>
                </a:ext>
                <a:ext uri="{FF2B5EF4-FFF2-40B4-BE49-F238E27FC236}">
                  <a16:creationId xmlns:a16="http://schemas.microsoft.com/office/drawing/2014/main" id="{00000000-0008-0000-1400-00001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5618" name="Object 18" hidden="1">
              <a:extLst>
                <a:ext uri="{63B3BB69-23CF-44E3-9099-C40C66FF867C}">
                  <a14:compatExt spid="_x0000_s25618"/>
                </a:ext>
                <a:ext uri="{FF2B5EF4-FFF2-40B4-BE49-F238E27FC236}">
                  <a16:creationId xmlns:a16="http://schemas.microsoft.com/office/drawing/2014/main" id="{00000000-0008-0000-1400-00001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5621" name="Object 21" hidden="1">
              <a:extLst>
                <a:ext uri="{63B3BB69-23CF-44E3-9099-C40C66FF867C}">
                  <a14:compatExt spid="_x0000_s25621"/>
                </a:ext>
                <a:ext uri="{FF2B5EF4-FFF2-40B4-BE49-F238E27FC236}">
                  <a16:creationId xmlns:a16="http://schemas.microsoft.com/office/drawing/2014/main" id="{00000000-0008-0000-1400-000015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5622" name="Object 22" hidden="1">
              <a:extLst>
                <a:ext uri="{63B3BB69-23CF-44E3-9099-C40C66FF867C}">
                  <a14:compatExt spid="_x0000_s25622"/>
                </a:ext>
                <a:ext uri="{FF2B5EF4-FFF2-40B4-BE49-F238E27FC236}">
                  <a16:creationId xmlns:a16="http://schemas.microsoft.com/office/drawing/2014/main" id="{00000000-0008-0000-1400-000016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198120</xdr:rowOff>
        </xdr:from>
        <xdr:to>
          <xdr:col>9</xdr:col>
          <xdr:colOff>571500</xdr:colOff>
          <xdr:row>43</xdr:row>
          <xdr:rowOff>220980</xdr:rowOff>
        </xdr:to>
        <xdr:sp macro="" textlink="">
          <xdr:nvSpPr>
            <xdr:cNvPr id="25640" name="Object 40" hidden="1">
              <a:extLst>
                <a:ext uri="{63B3BB69-23CF-44E3-9099-C40C66FF867C}">
                  <a14:compatExt spid="_x0000_s25640"/>
                </a:ext>
                <a:ext uri="{FF2B5EF4-FFF2-40B4-BE49-F238E27FC236}">
                  <a16:creationId xmlns:a16="http://schemas.microsoft.com/office/drawing/2014/main" id="{00000000-0008-0000-1400-000028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45720</xdr:colOff>
          <xdr:row>2</xdr:row>
          <xdr:rowOff>182880</xdr:rowOff>
        </xdr:from>
        <xdr:to>
          <xdr:col>14</xdr:col>
          <xdr:colOff>1493520</xdr:colOff>
          <xdr:row>3</xdr:row>
          <xdr:rowOff>144780</xdr:rowOff>
        </xdr:to>
        <xdr:sp macro="" textlink="">
          <xdr:nvSpPr>
            <xdr:cNvPr id="26630" name="Drop Down 6" hidden="1">
              <a:extLst>
                <a:ext uri="{63B3BB69-23CF-44E3-9099-C40C66FF867C}">
                  <a14:compatExt spid="_x0000_s26630"/>
                </a:ext>
                <a:ext uri="{FF2B5EF4-FFF2-40B4-BE49-F238E27FC236}">
                  <a16:creationId xmlns:a16="http://schemas.microsoft.com/office/drawing/2014/main" id="{00000000-0008-0000-1500-00000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6634" name="Object 10" hidden="1">
              <a:extLst>
                <a:ext uri="{63B3BB69-23CF-44E3-9099-C40C66FF867C}">
                  <a14:compatExt spid="_x0000_s26634"/>
                </a:ext>
                <a:ext uri="{FF2B5EF4-FFF2-40B4-BE49-F238E27FC236}">
                  <a16:creationId xmlns:a16="http://schemas.microsoft.com/office/drawing/2014/main" id="{00000000-0008-0000-1500-00000A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6635" name="Object 11" hidden="1">
              <a:extLst>
                <a:ext uri="{63B3BB69-23CF-44E3-9099-C40C66FF867C}">
                  <a14:compatExt spid="_x0000_s26635"/>
                </a:ext>
                <a:ext uri="{FF2B5EF4-FFF2-40B4-BE49-F238E27FC236}">
                  <a16:creationId xmlns:a16="http://schemas.microsoft.com/office/drawing/2014/main" id="{00000000-0008-0000-1500-00000B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6637" name="Object 13" hidden="1">
              <a:extLst>
                <a:ext uri="{63B3BB69-23CF-44E3-9099-C40C66FF867C}">
                  <a14:compatExt spid="_x0000_s26637"/>
                </a:ext>
                <a:ext uri="{FF2B5EF4-FFF2-40B4-BE49-F238E27FC236}">
                  <a16:creationId xmlns:a16="http://schemas.microsoft.com/office/drawing/2014/main" id="{00000000-0008-0000-1500-00000D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6638" name="Object 14" hidden="1">
              <a:extLst>
                <a:ext uri="{63B3BB69-23CF-44E3-9099-C40C66FF867C}">
                  <a14:compatExt spid="_x0000_s26638"/>
                </a:ext>
                <a:ext uri="{FF2B5EF4-FFF2-40B4-BE49-F238E27FC236}">
                  <a16:creationId xmlns:a16="http://schemas.microsoft.com/office/drawing/2014/main" id="{00000000-0008-0000-1500-00000E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6639" name="Object 15" hidden="1">
              <a:extLst>
                <a:ext uri="{63B3BB69-23CF-44E3-9099-C40C66FF867C}">
                  <a14:compatExt spid="_x0000_s26639"/>
                </a:ext>
                <a:ext uri="{FF2B5EF4-FFF2-40B4-BE49-F238E27FC236}">
                  <a16:creationId xmlns:a16="http://schemas.microsoft.com/office/drawing/2014/main" id="{00000000-0008-0000-1500-00000F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6640" name="Object 16" hidden="1">
              <a:extLst>
                <a:ext uri="{63B3BB69-23CF-44E3-9099-C40C66FF867C}">
                  <a14:compatExt spid="_x0000_s26640"/>
                </a:ext>
                <a:ext uri="{FF2B5EF4-FFF2-40B4-BE49-F238E27FC236}">
                  <a16:creationId xmlns:a16="http://schemas.microsoft.com/office/drawing/2014/main" id="{00000000-0008-0000-1500-000010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6641" name="Object 17" hidden="1">
              <a:extLst>
                <a:ext uri="{63B3BB69-23CF-44E3-9099-C40C66FF867C}">
                  <a14:compatExt spid="_x0000_s26641"/>
                </a:ext>
                <a:ext uri="{FF2B5EF4-FFF2-40B4-BE49-F238E27FC236}">
                  <a16:creationId xmlns:a16="http://schemas.microsoft.com/office/drawing/2014/main" id="{00000000-0008-0000-1500-00001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6642" name="Object 18" hidden="1">
              <a:extLst>
                <a:ext uri="{63B3BB69-23CF-44E3-9099-C40C66FF867C}">
                  <a14:compatExt spid="_x0000_s26642"/>
                </a:ext>
                <a:ext uri="{FF2B5EF4-FFF2-40B4-BE49-F238E27FC236}">
                  <a16:creationId xmlns:a16="http://schemas.microsoft.com/office/drawing/2014/main" id="{00000000-0008-0000-1500-000012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6645" name="Object 21" hidden="1">
              <a:extLst>
                <a:ext uri="{63B3BB69-23CF-44E3-9099-C40C66FF867C}">
                  <a14:compatExt spid="_x0000_s26645"/>
                </a:ext>
                <a:ext uri="{FF2B5EF4-FFF2-40B4-BE49-F238E27FC236}">
                  <a16:creationId xmlns:a16="http://schemas.microsoft.com/office/drawing/2014/main" id="{00000000-0008-0000-1500-000015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6646" name="Object 22" hidden="1">
              <a:extLst>
                <a:ext uri="{63B3BB69-23CF-44E3-9099-C40C66FF867C}">
                  <a14:compatExt spid="_x0000_s26646"/>
                </a:ext>
                <a:ext uri="{FF2B5EF4-FFF2-40B4-BE49-F238E27FC236}">
                  <a16:creationId xmlns:a16="http://schemas.microsoft.com/office/drawing/2014/main" id="{00000000-0008-0000-1500-000016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441960</xdr:colOff>
          <xdr:row>38</xdr:row>
          <xdr:rowOff>304800</xdr:rowOff>
        </xdr:from>
        <xdr:to>
          <xdr:col>9</xdr:col>
          <xdr:colOff>678180</xdr:colOff>
          <xdr:row>43</xdr:row>
          <xdr:rowOff>327660</xdr:rowOff>
        </xdr:to>
        <xdr:sp macro="" textlink="">
          <xdr:nvSpPr>
            <xdr:cNvPr id="26664" name="Object 40" hidden="1">
              <a:extLst>
                <a:ext uri="{63B3BB69-23CF-44E3-9099-C40C66FF867C}">
                  <a14:compatExt spid="_x0000_s26664"/>
                </a:ext>
                <a:ext uri="{FF2B5EF4-FFF2-40B4-BE49-F238E27FC236}">
                  <a16:creationId xmlns:a16="http://schemas.microsoft.com/office/drawing/2014/main" id="{00000000-0008-0000-1500-000028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981075</xdr:colOff>
      <xdr:row>16</xdr:row>
      <xdr:rowOff>209551</xdr:rowOff>
    </xdr:from>
    <xdr:to>
      <xdr:col>12</xdr:col>
      <xdr:colOff>981075</xdr:colOff>
      <xdr:row>20</xdr:row>
      <xdr:rowOff>190501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95250" y="3429001"/>
          <a:ext cx="0" cy="828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7658" name="Object 10" hidden="1">
              <a:extLst>
                <a:ext uri="{63B3BB69-23CF-44E3-9099-C40C66FF867C}">
                  <a14:compatExt spid="_x0000_s27658"/>
                </a:ext>
                <a:ext uri="{FF2B5EF4-FFF2-40B4-BE49-F238E27FC236}">
                  <a16:creationId xmlns:a16="http://schemas.microsoft.com/office/drawing/2014/main" id="{00000000-0008-0000-1600-00000A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7659" name="Object 11" hidden="1">
              <a:extLst>
                <a:ext uri="{63B3BB69-23CF-44E3-9099-C40C66FF867C}">
                  <a14:compatExt spid="_x0000_s27659"/>
                </a:ext>
                <a:ext uri="{FF2B5EF4-FFF2-40B4-BE49-F238E27FC236}">
                  <a16:creationId xmlns:a16="http://schemas.microsoft.com/office/drawing/2014/main" id="{00000000-0008-0000-1600-00000B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9512200" y="1905000"/>
          <a:ext cx="2914650" cy="438150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701450" y="6924675"/>
          <a:ext cx="2771775" cy="65722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6359425" y="1971675"/>
          <a:ext cx="1733550" cy="318067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9691925" y="1962150"/>
          <a:ext cx="4819650" cy="323850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5902225" y="6867525"/>
          <a:ext cx="2295525" cy="69015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20" name="Picture 1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236600" y="3352800"/>
          <a:ext cx="704850" cy="4610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21" name="Picture 2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88975" y="4019550"/>
          <a:ext cx="781050" cy="435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074675" y="4733924"/>
          <a:ext cx="875298" cy="438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23" name="Picture 1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8495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37325" y="4048125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25" name="Picture 1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5448300"/>
          <a:ext cx="2333625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66500" y="3438525"/>
          <a:ext cx="704850" cy="441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809350" y="4038600"/>
          <a:ext cx="781050" cy="42607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28" name="Picture 3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695050" y="5448300"/>
          <a:ext cx="2533650" cy="21907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29" name="Picture 4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4723625" y="4629149"/>
          <a:ext cx="958014" cy="438150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30" name="Picture 5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9528489" y="4629149"/>
          <a:ext cx="1385136" cy="44767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31" name="Picture 6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0018275" y="5448300"/>
          <a:ext cx="2069193" cy="22860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32" name="Picture 14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533750" y="2600325"/>
          <a:ext cx="2457450" cy="171450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33" name="Picture 15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9867125" y="2981325"/>
          <a:ext cx="571500" cy="314325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34" name="Picture 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201275"/>
          <a:ext cx="1885950" cy="47501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35" name="Picture 6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0" y="10982325"/>
          <a:ext cx="1888849" cy="38100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4160401" y="11782425"/>
          <a:ext cx="1885950" cy="410042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37" name="Picture 3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427600" y="10267950"/>
          <a:ext cx="409575" cy="40151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38" name="Picture 4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68341875" y="8372475"/>
          <a:ext cx="3914775" cy="119062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7661" name="Object 13" hidden="1">
              <a:extLst>
                <a:ext uri="{63B3BB69-23CF-44E3-9099-C40C66FF867C}">
                  <a14:compatExt spid="_x0000_s27661"/>
                </a:ext>
                <a:ext uri="{FF2B5EF4-FFF2-40B4-BE49-F238E27FC236}">
                  <a16:creationId xmlns:a16="http://schemas.microsoft.com/office/drawing/2014/main" id="{00000000-0008-0000-1600-00000D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7662" name="Object 14" hidden="1">
              <a:extLst>
                <a:ext uri="{63B3BB69-23CF-44E3-9099-C40C66FF867C}">
                  <a14:compatExt spid="_x0000_s27662"/>
                </a:ext>
                <a:ext uri="{FF2B5EF4-FFF2-40B4-BE49-F238E27FC236}">
                  <a16:creationId xmlns:a16="http://schemas.microsoft.com/office/drawing/2014/main" id="{00000000-0008-0000-1600-00000E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7663" name="Object 15" hidden="1">
              <a:extLst>
                <a:ext uri="{63B3BB69-23CF-44E3-9099-C40C66FF867C}">
                  <a14:compatExt spid="_x0000_s27663"/>
                </a:ext>
                <a:ext uri="{FF2B5EF4-FFF2-40B4-BE49-F238E27FC236}">
                  <a16:creationId xmlns:a16="http://schemas.microsoft.com/office/drawing/2014/main" id="{00000000-0008-0000-1600-00000F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7664" name="Object 16" hidden="1">
              <a:extLst>
                <a:ext uri="{63B3BB69-23CF-44E3-9099-C40C66FF867C}">
                  <a14:compatExt spid="_x0000_s27664"/>
                </a:ext>
                <a:ext uri="{FF2B5EF4-FFF2-40B4-BE49-F238E27FC236}">
                  <a16:creationId xmlns:a16="http://schemas.microsoft.com/office/drawing/2014/main" id="{00000000-0008-0000-1600-000010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7665" name="Object 17" hidden="1">
              <a:extLst>
                <a:ext uri="{63B3BB69-23CF-44E3-9099-C40C66FF867C}">
                  <a14:compatExt spid="_x0000_s27665"/>
                </a:ext>
                <a:ext uri="{FF2B5EF4-FFF2-40B4-BE49-F238E27FC236}">
                  <a16:creationId xmlns:a16="http://schemas.microsoft.com/office/drawing/2014/main" id="{00000000-0008-0000-1600-00001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7666" name="Object 18" hidden="1">
              <a:extLst>
                <a:ext uri="{63B3BB69-23CF-44E3-9099-C40C66FF867C}">
                  <a14:compatExt spid="_x0000_s27666"/>
                </a:ext>
                <a:ext uri="{FF2B5EF4-FFF2-40B4-BE49-F238E27FC236}">
                  <a16:creationId xmlns:a16="http://schemas.microsoft.com/office/drawing/2014/main" id="{00000000-0008-0000-1600-000012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7669" name="Object 21" hidden="1">
              <a:extLst>
                <a:ext uri="{63B3BB69-23CF-44E3-9099-C40C66FF867C}">
                  <a14:compatExt spid="_x0000_s27669"/>
                </a:ext>
                <a:ext uri="{FF2B5EF4-FFF2-40B4-BE49-F238E27FC236}">
                  <a16:creationId xmlns:a16="http://schemas.microsoft.com/office/drawing/2014/main" id="{00000000-0008-0000-1600-000015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7670" name="Object 22" hidden="1">
              <a:extLst>
                <a:ext uri="{63B3BB69-23CF-44E3-9099-C40C66FF867C}">
                  <a14:compatExt spid="_x0000_s27670"/>
                </a:ext>
                <a:ext uri="{FF2B5EF4-FFF2-40B4-BE49-F238E27FC236}">
                  <a16:creationId xmlns:a16="http://schemas.microsoft.com/office/drawing/2014/main" id="{00000000-0008-0000-1600-000016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601980</xdr:colOff>
          <xdr:row>38</xdr:row>
          <xdr:rowOff>190500</xdr:rowOff>
        </xdr:from>
        <xdr:to>
          <xdr:col>9</xdr:col>
          <xdr:colOff>1447800</xdr:colOff>
          <xdr:row>43</xdr:row>
          <xdr:rowOff>213360</xdr:rowOff>
        </xdr:to>
        <xdr:sp macro="" textlink="">
          <xdr:nvSpPr>
            <xdr:cNvPr id="27688" name="Object 40" hidden="1">
              <a:extLst>
                <a:ext uri="{63B3BB69-23CF-44E3-9099-C40C66FF867C}">
                  <a14:compatExt spid="_x0000_s27688"/>
                </a:ext>
                <a:ext uri="{FF2B5EF4-FFF2-40B4-BE49-F238E27FC236}">
                  <a16:creationId xmlns:a16="http://schemas.microsoft.com/office/drawing/2014/main" id="{00000000-0008-0000-1600-000028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17" name="AutoShape 1" descr="{\ displaystyle P (x) _ () ^ () =}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4156</xdr:colOff>
      <xdr:row>2</xdr:row>
      <xdr:rowOff>121920</xdr:rowOff>
    </xdr:to>
    <xdr:sp macro="" textlink="">
      <xdr:nvSpPr>
        <xdr:cNvPr id="18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01336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266353</xdr:colOff>
      <xdr:row>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864773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307917</xdr:colOff>
      <xdr:row>2</xdr:row>
      <xdr:rowOff>22860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8600" y="106680"/>
          <a:ext cx="2388177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447849</xdr:colOff>
      <xdr:row>3</xdr:row>
      <xdr:rowOff>25977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9975" y="0"/>
          <a:ext cx="1203614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8-07-14\Clientes\Certificados\2018\Dentro%20de%20alcance\Masa\NI-MC-M-006-2018%20FA%20Empresa%20Servicios%20Electr&#243;nicos%20Azocar%20S,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/>
      <sheetData sheetId="1" refreshError="1">
        <row r="4">
          <cell r="P4">
            <v>2.5000000000000001E-2</v>
          </cell>
        </row>
        <row r="7">
          <cell r="F7" t="str">
            <v>°C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blBD_PatronMasa1315" displayName="tblBD_PatronMasa1315" ref="H94:Z248" totalsRowShown="0" headerRowDxfId="543" dataDxfId="541" headerRowBorderDxfId="542" tableBorderDxfId="540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539"/>
    <tableColumn id="2" xr3:uid="{00000000-0010-0000-0300-000002000000}" name="Código Patrón" dataDxfId="538"/>
    <tableColumn id="3" xr3:uid="{00000000-0010-0000-0300-000003000000}" name="Marca" dataDxfId="537"/>
    <tableColumn id="4" xr3:uid="{00000000-0010-0000-0300-000004000000}" name="Clase" dataDxfId="536"/>
    <tableColumn id="5" xr3:uid="{00000000-0010-0000-0300-000005000000}" name="Masa nominal mN                              (g)" dataDxfId="535"/>
    <tableColumn id="6" xr3:uid="{00000000-0010-0000-0300-000006000000}" name="Error certificado calibración δmc                  (mg)" dataDxfId="534"/>
    <tableColumn id="7" xr3:uid="{00000000-0010-0000-0300-000007000000}" name="Masa convenc. mN–(mpe–U95) &lt;mc&lt; mN+(mpe–U95)" dataDxfId="533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532"/>
    <tableColumn id="9" xr3:uid="{00000000-0010-0000-0300-000009000000}" name="Deriva D D&lt;=mpe/3" dataDxfId="531"/>
    <tableColumn id="14" xr3:uid="{00000000-0010-0000-0300-00000E000000}" name="Incertidumbre deriva u(δmD) = D/Ö3" dataDxfId="530">
      <calculatedColumnFormula>tblBD_PatronMasa1315[[#This Row],[Deriva D D&lt;=mpe/3]]/SQRT(3)</calculatedColumnFormula>
    </tableColumn>
    <tableColumn id="10" xr3:uid="{00000000-0010-0000-0300-00000A000000}" name="Fecha revisión deriva" dataDxfId="529"/>
    <tableColumn id="11" xr3:uid="{00000000-0010-0000-0300-00000B000000}" name="mpe" dataDxfId="528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527"/>
    <tableColumn id="13" xr3:uid="{00000000-0010-0000-0300-00000D000000}" name="Laboratorio/Certificado" dataDxfId="526"/>
    <tableColumn id="15" xr3:uid="{00000000-0010-0000-0300-00000F000000}" name="Material" dataDxfId="525"/>
    <tableColumn id="16" xr3:uid="{00000000-0010-0000-0300-000010000000}" name="Densidad r (kg/m³)" dataDxfId="524">
      <calculatedColumnFormula>IFERROR(VLOOKUP(tblBD_PatronMasa1315[[#This Row],[Material]],#REF!,2,0),0)</calculatedColumnFormula>
    </tableColumn>
    <tableColumn id="17" xr3:uid="{00000000-0010-0000-0300-000011000000}" name="incertidumbre de la densidad" dataDxfId="523">
      <calculatedColumnFormula>IFERROR(VLOOKUP(tblBD_PatronMasa1315[[#This Row],[Material]],#REF!,3,0),0)</calculatedColumnFormula>
    </tableColumn>
    <tableColumn id="18" xr3:uid="{00000000-0010-0000-0300-000012000000}" name="Volumen cm3" dataDxfId="522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521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blBD_PatronMasa13152" displayName="tblBD_PatronMasa13152" ref="H94:Z248" totalsRowShown="0" headerRowDxfId="520" dataDxfId="518" headerRowBorderDxfId="519" tableBorderDxfId="517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16"/>
    <tableColumn id="2" xr3:uid="{00000000-0010-0000-0400-000002000000}" name="Código Patrón" dataDxfId="515"/>
    <tableColumn id="3" xr3:uid="{00000000-0010-0000-0400-000003000000}" name="Marca" dataDxfId="514"/>
    <tableColumn id="4" xr3:uid="{00000000-0010-0000-0400-000004000000}" name="Clase" dataDxfId="513"/>
    <tableColumn id="5" xr3:uid="{00000000-0010-0000-0400-000005000000}" name="Masa nominal mN                              (g)" dataDxfId="512"/>
    <tableColumn id="6" xr3:uid="{00000000-0010-0000-0400-000006000000}" name="Error certificado calibración δmc                  (mg)" dataDxfId="511"/>
    <tableColumn id="7" xr3:uid="{00000000-0010-0000-0400-000007000000}" name="Masa convenc. mN–(mpe–U95) &lt;mc&lt; mN+(mpe–U95)" dataDxfId="510"/>
    <tableColumn id="8" xr3:uid="{00000000-0010-0000-0400-000008000000}" name="Incertidumbre certificado calibración u          (mg)" dataDxfId="509"/>
    <tableColumn id="9" xr3:uid="{00000000-0010-0000-0400-000009000000}" name="Deriva D D&lt;=mpe/3" dataDxfId="508"/>
    <tableColumn id="14" xr3:uid="{00000000-0010-0000-0400-00000E000000}" name="Incertidumbre deriva u(δmD) = D/Ö3" dataDxfId="507"/>
    <tableColumn id="10" xr3:uid="{00000000-0010-0000-0400-00000A000000}" name="Fecha revisión deriva" dataDxfId="506"/>
    <tableColumn id="11" xr3:uid="{00000000-0010-0000-0400-00000B000000}" name="mpe" dataDxfId="505"/>
    <tableColumn id="12" xr3:uid="{00000000-0010-0000-0400-00000C000000}" name="Fecha calibración (certificado calibración)" dataDxfId="504"/>
    <tableColumn id="13" xr3:uid="{00000000-0010-0000-0400-00000D000000}" name="Laboratorio/Certificado" dataDxfId="503"/>
    <tableColumn id="15" xr3:uid="{00000000-0010-0000-0400-00000F000000}" name="Material" dataDxfId="502"/>
    <tableColumn id="16" xr3:uid="{00000000-0010-0000-0400-000010000000}" name="Densidad r (kg/m³)" dataDxfId="501"/>
    <tableColumn id="17" xr3:uid="{00000000-0010-0000-0400-000011000000}" name="incertidumbre de la densidad" dataDxfId="500"/>
    <tableColumn id="18" xr3:uid="{00000000-0010-0000-0400-000012000000}" name="Volumen cm3" dataDxfId="499"/>
    <tableColumn id="19" xr3:uid="{00000000-0010-0000-0400-000013000000}" name="Incertidumbre del volumen cm3" dataDxfId="498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blBD_PatronMasa13153" displayName="tblBD_PatronMasa13153" ref="H94:Z248" totalsRowShown="0" headerRowDxfId="497" dataDxfId="495" headerRowBorderDxfId="496" tableBorderDxfId="494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493"/>
    <tableColumn id="2" xr3:uid="{00000000-0010-0000-0500-000002000000}" name="Código Patrón" dataDxfId="492"/>
    <tableColumn id="3" xr3:uid="{00000000-0010-0000-0500-000003000000}" name="Marca" dataDxfId="491"/>
    <tableColumn id="4" xr3:uid="{00000000-0010-0000-0500-000004000000}" name="Clase" dataDxfId="490"/>
    <tableColumn id="5" xr3:uid="{00000000-0010-0000-0500-000005000000}" name="Masa nominal mN                              (g)" dataDxfId="489"/>
    <tableColumn id="6" xr3:uid="{00000000-0010-0000-0500-000006000000}" name="Error certificado calibración δmc                  (mg)" dataDxfId="488"/>
    <tableColumn id="7" xr3:uid="{00000000-0010-0000-0500-000007000000}" name="Masa convenc. mN–(mpe–U95) &lt;mc&lt; mN+(mpe–U95)" dataDxfId="487"/>
    <tableColumn id="8" xr3:uid="{00000000-0010-0000-0500-000008000000}" name="Incertidumbre certificado calibración u          (mg)" dataDxfId="486"/>
    <tableColumn id="9" xr3:uid="{00000000-0010-0000-0500-000009000000}" name="Deriva D D&lt;=mpe/3" dataDxfId="485"/>
    <tableColumn id="14" xr3:uid="{00000000-0010-0000-0500-00000E000000}" name="Incertidumbre deriva u(δmD) = D/Ö3" dataDxfId="484"/>
    <tableColumn id="10" xr3:uid="{00000000-0010-0000-0500-00000A000000}" name="Fecha revisión deriva" dataDxfId="483"/>
    <tableColumn id="11" xr3:uid="{00000000-0010-0000-0500-00000B000000}" name="mpe" dataDxfId="482"/>
    <tableColumn id="12" xr3:uid="{00000000-0010-0000-0500-00000C000000}" name="Fecha calibración (certificado calibración)" dataDxfId="481"/>
    <tableColumn id="13" xr3:uid="{00000000-0010-0000-0500-00000D000000}" name="Laboratorio/Certificado" dataDxfId="480"/>
    <tableColumn id="15" xr3:uid="{00000000-0010-0000-0500-00000F000000}" name="Material" dataDxfId="479"/>
    <tableColumn id="16" xr3:uid="{00000000-0010-0000-0500-000010000000}" name="Densidad r (kg/m³)" dataDxfId="478"/>
    <tableColumn id="17" xr3:uid="{00000000-0010-0000-0500-000011000000}" name="incertidumbre de la densidad" dataDxfId="477"/>
    <tableColumn id="18" xr3:uid="{00000000-0010-0000-0500-000012000000}" name="Volumen cm3" dataDxfId="476"/>
    <tableColumn id="19" xr3:uid="{00000000-0010-0000-0500-000013000000}" name="Incertidumbre del volumen cm3" dataDxfId="475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tblBD_PatronMasa13154" displayName="tblBD_PatronMasa13154" ref="H94:Z248" totalsRowShown="0" headerRowDxfId="474" dataDxfId="472" headerRowBorderDxfId="473" tableBorderDxfId="471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70"/>
    <tableColumn id="2" xr3:uid="{00000000-0010-0000-0600-000002000000}" name="Código Patrón" dataDxfId="469"/>
    <tableColumn id="3" xr3:uid="{00000000-0010-0000-0600-000003000000}" name="Marca" dataDxfId="468"/>
    <tableColumn id="4" xr3:uid="{00000000-0010-0000-0600-000004000000}" name="Clase" dataDxfId="467"/>
    <tableColumn id="5" xr3:uid="{00000000-0010-0000-0600-000005000000}" name="Masa nominal mN                              (g)" dataDxfId="466"/>
    <tableColumn id="6" xr3:uid="{00000000-0010-0000-0600-000006000000}" name="Error certificado calibración δmc                  (mg)" dataDxfId="465"/>
    <tableColumn id="7" xr3:uid="{00000000-0010-0000-0600-000007000000}" name="Masa convenc. mN–(mpe–U95) &lt;mc&lt; mN+(mpe–U95)" dataDxfId="464"/>
    <tableColumn id="8" xr3:uid="{00000000-0010-0000-0600-000008000000}" name="Incertidumbre certificado calibración u          (mg)" dataDxfId="463"/>
    <tableColumn id="9" xr3:uid="{00000000-0010-0000-0600-000009000000}" name="Deriva D D&lt;=mpe/3" dataDxfId="462"/>
    <tableColumn id="14" xr3:uid="{00000000-0010-0000-0600-00000E000000}" name="Incertidumbre deriva u(δmD) = D/Ö3" dataDxfId="461"/>
    <tableColumn id="10" xr3:uid="{00000000-0010-0000-0600-00000A000000}" name="Fecha revisión deriva" dataDxfId="460"/>
    <tableColumn id="11" xr3:uid="{00000000-0010-0000-0600-00000B000000}" name="mpe" dataDxfId="459"/>
    <tableColumn id="12" xr3:uid="{00000000-0010-0000-0600-00000C000000}" name="Fecha calibración (certificado calibración)" dataDxfId="458"/>
    <tableColumn id="13" xr3:uid="{00000000-0010-0000-0600-00000D000000}" name="Laboratorio/Certificado" dataDxfId="457"/>
    <tableColumn id="15" xr3:uid="{00000000-0010-0000-0600-00000F000000}" name="Material" dataDxfId="456"/>
    <tableColumn id="16" xr3:uid="{00000000-0010-0000-0600-000010000000}" name="Densidad r (kg/m³)" dataDxfId="455"/>
    <tableColumn id="17" xr3:uid="{00000000-0010-0000-0600-000011000000}" name="incertidumbre de la densidad" dataDxfId="454"/>
    <tableColumn id="18" xr3:uid="{00000000-0010-0000-0600-000012000000}" name="Volumen cm3" dataDxfId="453"/>
    <tableColumn id="19" xr3:uid="{00000000-0010-0000-0600-000013000000}" name="Incertidumbre del volumen cm3" dataDxfId="452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blBD_PatronMasa13155" displayName="tblBD_PatronMasa13155" ref="H94:Z248" totalsRowShown="0" headerRowDxfId="451" dataDxfId="449" headerRowBorderDxfId="450" tableBorderDxfId="448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47"/>
    <tableColumn id="2" xr3:uid="{00000000-0010-0000-0700-000002000000}" name="Código Patrón" dataDxfId="446"/>
    <tableColumn id="3" xr3:uid="{00000000-0010-0000-0700-000003000000}" name="Marca" dataDxfId="445"/>
    <tableColumn id="4" xr3:uid="{00000000-0010-0000-0700-000004000000}" name="Clase" dataDxfId="444"/>
    <tableColumn id="5" xr3:uid="{00000000-0010-0000-0700-000005000000}" name="Masa nominal mN                              (g)" dataDxfId="443"/>
    <tableColumn id="6" xr3:uid="{00000000-0010-0000-0700-000006000000}" name="Error certificado calibración δmc                  (mg)" dataDxfId="442"/>
    <tableColumn id="7" xr3:uid="{00000000-0010-0000-0700-000007000000}" name="Masa convenc. mN–(mpe–U95) &lt;mc&lt; mN+(mpe–U95)" dataDxfId="441"/>
    <tableColumn id="8" xr3:uid="{00000000-0010-0000-0700-000008000000}" name="Incertidumbre certificado calibración u          (mg)" dataDxfId="440"/>
    <tableColumn id="9" xr3:uid="{00000000-0010-0000-0700-000009000000}" name="Deriva D D&lt;=mpe/3" dataDxfId="439"/>
    <tableColumn id="14" xr3:uid="{00000000-0010-0000-0700-00000E000000}" name="Incertidumbre deriva u(δmD) = D/Ö3" dataDxfId="438"/>
    <tableColumn id="10" xr3:uid="{00000000-0010-0000-0700-00000A000000}" name="Fecha revisión deriva" dataDxfId="437"/>
    <tableColumn id="11" xr3:uid="{00000000-0010-0000-0700-00000B000000}" name="mpe" dataDxfId="436"/>
    <tableColumn id="12" xr3:uid="{00000000-0010-0000-0700-00000C000000}" name="Fecha calibración (certificado calibración)" dataDxfId="435"/>
    <tableColumn id="13" xr3:uid="{00000000-0010-0000-0700-00000D000000}" name="Laboratorio/Certificado" dataDxfId="434"/>
    <tableColumn id="15" xr3:uid="{00000000-0010-0000-0700-00000F000000}" name="Material" dataDxfId="433"/>
    <tableColumn id="16" xr3:uid="{00000000-0010-0000-0700-000010000000}" name="Densidad r (kg/m³)" dataDxfId="432"/>
    <tableColumn id="17" xr3:uid="{00000000-0010-0000-0700-000011000000}" name="incertidumbre de la densidad" dataDxfId="431"/>
    <tableColumn id="18" xr3:uid="{00000000-0010-0000-0700-000012000000}" name="Volumen cm3" dataDxfId="430"/>
    <tableColumn id="19" xr3:uid="{00000000-0010-0000-0700-000013000000}" name="Incertidumbre del volumen cm3" dataDxfId="429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8000000}" name="tblBD_PatronMasa13156" displayName="tblBD_PatronMasa13156" ref="H94:Z248" totalsRowShown="0" headerRowDxfId="428" dataDxfId="426" headerRowBorderDxfId="427" tableBorderDxfId="425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24"/>
    <tableColumn id="2" xr3:uid="{00000000-0010-0000-0800-000002000000}" name="Código Patrón" dataDxfId="423"/>
    <tableColumn id="3" xr3:uid="{00000000-0010-0000-0800-000003000000}" name="Marca" dataDxfId="422"/>
    <tableColumn id="4" xr3:uid="{00000000-0010-0000-0800-000004000000}" name="Clase" dataDxfId="421"/>
    <tableColumn id="5" xr3:uid="{00000000-0010-0000-0800-000005000000}" name="Masa nominal mN                              (g)" dataDxfId="420"/>
    <tableColumn id="6" xr3:uid="{00000000-0010-0000-0800-000006000000}" name="Error certificado calibración δmc                  (mg)" dataDxfId="419"/>
    <tableColumn id="7" xr3:uid="{00000000-0010-0000-0800-000007000000}" name="Masa convenc. mN–(mpe–U95) &lt;mc&lt; mN+(mpe–U95)" dataDxfId="418"/>
    <tableColumn id="8" xr3:uid="{00000000-0010-0000-0800-000008000000}" name="Incertidumbre certificado calibración u          (mg)" dataDxfId="417"/>
    <tableColumn id="9" xr3:uid="{00000000-0010-0000-0800-000009000000}" name="Deriva D D&lt;=mpe/3" dataDxfId="416"/>
    <tableColumn id="14" xr3:uid="{00000000-0010-0000-0800-00000E000000}" name="Incertidumbre deriva u(δmD) = D/Ö3" dataDxfId="415"/>
    <tableColumn id="10" xr3:uid="{00000000-0010-0000-0800-00000A000000}" name="Fecha revisión deriva" dataDxfId="414"/>
    <tableColumn id="11" xr3:uid="{00000000-0010-0000-0800-00000B000000}" name="mpe" dataDxfId="413"/>
    <tableColumn id="12" xr3:uid="{00000000-0010-0000-0800-00000C000000}" name="Fecha calibración (certificado calibración)" dataDxfId="412"/>
    <tableColumn id="13" xr3:uid="{00000000-0010-0000-0800-00000D000000}" name="Laboratorio/Certificado" dataDxfId="411"/>
    <tableColumn id="15" xr3:uid="{00000000-0010-0000-0800-00000F000000}" name="Material" dataDxfId="410"/>
    <tableColumn id="16" xr3:uid="{00000000-0010-0000-0800-000010000000}" name="Densidad r (kg/m³)" dataDxfId="409"/>
    <tableColumn id="17" xr3:uid="{00000000-0010-0000-0800-000011000000}" name="incertidumbre de la densidad" dataDxfId="408"/>
    <tableColumn id="18" xr3:uid="{00000000-0010-0000-0800-000012000000}" name="Volumen cm3" dataDxfId="407"/>
    <tableColumn id="19" xr3:uid="{00000000-0010-0000-0800-000013000000}" name="Incertidumbre del volumen cm3" dataDxfId="4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9000000}" name="tblBD_PatronMasa13157" displayName="tblBD_PatronMasa13157" ref="H94:Z248" totalsRowShown="0" headerRowDxfId="405" dataDxfId="403" headerRowBorderDxfId="404" tableBorderDxfId="402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01"/>
    <tableColumn id="2" xr3:uid="{00000000-0010-0000-0900-000002000000}" name="Código Patrón" dataDxfId="400"/>
    <tableColumn id="3" xr3:uid="{00000000-0010-0000-0900-000003000000}" name="Marca" dataDxfId="399"/>
    <tableColumn id="4" xr3:uid="{00000000-0010-0000-0900-000004000000}" name="Clase" dataDxfId="398"/>
    <tableColumn id="5" xr3:uid="{00000000-0010-0000-0900-000005000000}" name="Masa nominal mN                              (g)" dataDxfId="397"/>
    <tableColumn id="6" xr3:uid="{00000000-0010-0000-0900-000006000000}" name="Error certificado calibración δmc                  (mg)" dataDxfId="396"/>
    <tableColumn id="7" xr3:uid="{00000000-0010-0000-0900-000007000000}" name="Masa convenc. mN–(mpe–U95) &lt;mc&lt; mN+(mpe–U95)" dataDxfId="395"/>
    <tableColumn id="8" xr3:uid="{00000000-0010-0000-0900-000008000000}" name="Incertidumbre certificado calibración u          (mg)" dataDxfId="394"/>
    <tableColumn id="9" xr3:uid="{00000000-0010-0000-0900-000009000000}" name="Deriva D D&lt;=mpe/3" dataDxfId="393"/>
    <tableColumn id="14" xr3:uid="{00000000-0010-0000-0900-00000E000000}" name="Incertidumbre deriva u(δmD) = D/Ö3" dataDxfId="392"/>
    <tableColumn id="10" xr3:uid="{00000000-0010-0000-0900-00000A000000}" name="Fecha revisión deriva" dataDxfId="391"/>
    <tableColumn id="11" xr3:uid="{00000000-0010-0000-0900-00000B000000}" name="mpe" dataDxfId="390"/>
    <tableColumn id="12" xr3:uid="{00000000-0010-0000-0900-00000C000000}" name="Fecha calibración (certificado calibración)" dataDxfId="389"/>
    <tableColumn id="13" xr3:uid="{00000000-0010-0000-0900-00000D000000}" name="Laboratorio/Certificado" dataDxfId="388"/>
    <tableColumn id="15" xr3:uid="{00000000-0010-0000-0900-00000F000000}" name="Material" dataDxfId="387"/>
    <tableColumn id="16" xr3:uid="{00000000-0010-0000-0900-000010000000}" name="Densidad r (kg/m³)" dataDxfId="386"/>
    <tableColumn id="17" xr3:uid="{00000000-0010-0000-0900-000011000000}" name="incertidumbre de la densidad" dataDxfId="385"/>
    <tableColumn id="18" xr3:uid="{00000000-0010-0000-0900-000012000000}" name="Volumen cm3" dataDxfId="384"/>
    <tableColumn id="19" xr3:uid="{00000000-0010-0000-0900-000013000000}" name="Incertidumbre del volumen cm3" dataDxfId="383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A000000}" name="tblBD_PatronMasa13158" displayName="tblBD_PatronMasa13158" ref="H94:Z248" totalsRowShown="0" headerRowDxfId="382" dataDxfId="380" headerRowBorderDxfId="381" tableBorderDxfId="379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378"/>
    <tableColumn id="2" xr3:uid="{00000000-0010-0000-0A00-000002000000}" name="Código Patrón" dataDxfId="377"/>
    <tableColumn id="3" xr3:uid="{00000000-0010-0000-0A00-000003000000}" name="Marca" dataDxfId="376"/>
    <tableColumn id="4" xr3:uid="{00000000-0010-0000-0A00-000004000000}" name="Clase" dataDxfId="375"/>
    <tableColumn id="5" xr3:uid="{00000000-0010-0000-0A00-000005000000}" name="Masa nominal mN                              (g)" dataDxfId="374"/>
    <tableColumn id="6" xr3:uid="{00000000-0010-0000-0A00-000006000000}" name="Error certificado calibración δmc                  (mg)" dataDxfId="373"/>
    <tableColumn id="7" xr3:uid="{00000000-0010-0000-0A00-000007000000}" name="Masa convenc. mN–(mpe–U95) &lt;mc&lt; mN+(mpe–U95)" dataDxfId="372"/>
    <tableColumn id="8" xr3:uid="{00000000-0010-0000-0A00-000008000000}" name="Incertidumbre certificado calibración u          (mg)" dataDxfId="371"/>
    <tableColumn id="9" xr3:uid="{00000000-0010-0000-0A00-000009000000}" name="Deriva D D&lt;=mpe/3" dataDxfId="370"/>
    <tableColumn id="14" xr3:uid="{00000000-0010-0000-0A00-00000E000000}" name="Incertidumbre deriva u(δmD) = D/Ö3" dataDxfId="369"/>
    <tableColumn id="10" xr3:uid="{00000000-0010-0000-0A00-00000A000000}" name="Fecha revisión deriva" dataDxfId="368"/>
    <tableColumn id="11" xr3:uid="{00000000-0010-0000-0A00-00000B000000}" name="mpe" dataDxfId="367"/>
    <tableColumn id="12" xr3:uid="{00000000-0010-0000-0A00-00000C000000}" name="Fecha calibración (certificado calibración)" dataDxfId="366"/>
    <tableColumn id="13" xr3:uid="{00000000-0010-0000-0A00-00000D000000}" name="Laboratorio/Certificado" dataDxfId="365"/>
    <tableColumn id="15" xr3:uid="{00000000-0010-0000-0A00-00000F000000}" name="Material" dataDxfId="364"/>
    <tableColumn id="16" xr3:uid="{00000000-0010-0000-0A00-000010000000}" name="Densidad r (kg/m³)" dataDxfId="363"/>
    <tableColumn id="17" xr3:uid="{00000000-0010-0000-0A00-000011000000}" name="incertidumbre de la densidad" dataDxfId="362"/>
    <tableColumn id="18" xr3:uid="{00000000-0010-0000-0A00-000012000000}" name="Volumen cm3" dataDxfId="361"/>
    <tableColumn id="19" xr3:uid="{00000000-0010-0000-0A00-000013000000}" name="Incertidumbre del volumen cm3" dataDxfId="36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B000000}" name="tblBD_PatronMasa13159" displayName="tblBD_PatronMasa13159" ref="H94:Z248" totalsRowShown="0" headerRowDxfId="359" dataDxfId="357" headerRowBorderDxfId="358" tableBorderDxfId="356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55"/>
    <tableColumn id="2" xr3:uid="{00000000-0010-0000-0B00-000002000000}" name="Código Patrón" dataDxfId="354"/>
    <tableColumn id="3" xr3:uid="{00000000-0010-0000-0B00-000003000000}" name="Marca" dataDxfId="353"/>
    <tableColumn id="4" xr3:uid="{00000000-0010-0000-0B00-000004000000}" name="Clase" dataDxfId="352"/>
    <tableColumn id="5" xr3:uid="{00000000-0010-0000-0B00-000005000000}" name="Masa nominal mN                              (g)" dataDxfId="351"/>
    <tableColumn id="6" xr3:uid="{00000000-0010-0000-0B00-000006000000}" name="Error certificado calibración δmc                  (mg)" dataDxfId="350"/>
    <tableColumn id="7" xr3:uid="{00000000-0010-0000-0B00-000007000000}" name="Masa convenc. mN–(mpe–U95) &lt;mc&lt; mN+(mpe–U95)" dataDxfId="349"/>
    <tableColumn id="8" xr3:uid="{00000000-0010-0000-0B00-000008000000}" name="Incertidumbre certificado calibración u          (mg)" dataDxfId="348"/>
    <tableColumn id="9" xr3:uid="{00000000-0010-0000-0B00-000009000000}" name="Deriva D D&lt;=mpe/3" dataDxfId="347"/>
    <tableColumn id="14" xr3:uid="{00000000-0010-0000-0B00-00000E000000}" name="Incertidumbre deriva u(δmD) = D/Ö3" dataDxfId="346"/>
    <tableColumn id="10" xr3:uid="{00000000-0010-0000-0B00-00000A000000}" name="Fecha revisión deriva" dataDxfId="345"/>
    <tableColumn id="11" xr3:uid="{00000000-0010-0000-0B00-00000B000000}" name="mpe" dataDxfId="344"/>
    <tableColumn id="12" xr3:uid="{00000000-0010-0000-0B00-00000C000000}" name="Fecha calibración (certificado calibración)" dataDxfId="343"/>
    <tableColumn id="13" xr3:uid="{00000000-0010-0000-0B00-00000D000000}" name="Laboratorio/Certificado" dataDxfId="342"/>
    <tableColumn id="15" xr3:uid="{00000000-0010-0000-0B00-00000F000000}" name="Material" dataDxfId="341"/>
    <tableColumn id="16" xr3:uid="{00000000-0010-0000-0B00-000010000000}" name="Densidad r (kg/m³)" dataDxfId="340"/>
    <tableColumn id="17" xr3:uid="{00000000-0010-0000-0B00-000011000000}" name="incertidumbre de la densidad" dataDxfId="339"/>
    <tableColumn id="18" xr3:uid="{00000000-0010-0000-0B00-000012000000}" name="Volumen cm3" dataDxfId="338"/>
    <tableColumn id="19" xr3:uid="{00000000-0010-0000-0B00-000013000000}" name="Incertidumbre del volumen cm3" dataDxfId="337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C000000}" name="tblBD_PatronMasa131510" displayName="tblBD_PatronMasa131510" ref="H94:Z248" totalsRowShown="0" headerRowDxfId="336" dataDxfId="334" headerRowBorderDxfId="335" tableBorderDxfId="333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32"/>
    <tableColumn id="2" xr3:uid="{00000000-0010-0000-0C00-000002000000}" name="Código Patrón" dataDxfId="331"/>
    <tableColumn id="3" xr3:uid="{00000000-0010-0000-0C00-000003000000}" name="Marca" dataDxfId="330"/>
    <tableColumn id="4" xr3:uid="{00000000-0010-0000-0C00-000004000000}" name="Clase" dataDxfId="329"/>
    <tableColumn id="5" xr3:uid="{00000000-0010-0000-0C00-000005000000}" name="Masa nominal mN                              (g)" dataDxfId="328"/>
    <tableColumn id="6" xr3:uid="{00000000-0010-0000-0C00-000006000000}" name="Error certificado calibración δmc                  (mg)" dataDxfId="327"/>
    <tableColumn id="7" xr3:uid="{00000000-0010-0000-0C00-000007000000}" name="Masa convenc. mN–(mpe–U95) &lt;mc&lt; mN+(mpe–U95)" dataDxfId="326"/>
    <tableColumn id="8" xr3:uid="{00000000-0010-0000-0C00-000008000000}" name="Incertidumbre certificado calibración u          (mg)" dataDxfId="325"/>
    <tableColumn id="9" xr3:uid="{00000000-0010-0000-0C00-000009000000}" name="Deriva D D&lt;=mpe/3" dataDxfId="324"/>
    <tableColumn id="14" xr3:uid="{00000000-0010-0000-0C00-00000E000000}" name="Incertidumbre deriva u(δmD) = D/Ö3" dataDxfId="323"/>
    <tableColumn id="10" xr3:uid="{00000000-0010-0000-0C00-00000A000000}" name="Fecha revisión deriva" dataDxfId="322"/>
    <tableColumn id="11" xr3:uid="{00000000-0010-0000-0C00-00000B000000}" name="mpe" dataDxfId="321"/>
    <tableColumn id="12" xr3:uid="{00000000-0010-0000-0C00-00000C000000}" name="Fecha calibración (certificado calibración)" dataDxfId="320"/>
    <tableColumn id="13" xr3:uid="{00000000-0010-0000-0C00-00000D000000}" name="Laboratorio/Certificado" dataDxfId="319"/>
    <tableColumn id="15" xr3:uid="{00000000-0010-0000-0C00-00000F000000}" name="Material" dataDxfId="318"/>
    <tableColumn id="16" xr3:uid="{00000000-0010-0000-0C00-000010000000}" name="Densidad r (kg/m³)" dataDxfId="317"/>
    <tableColumn id="17" xr3:uid="{00000000-0010-0000-0C00-000011000000}" name="incertidumbre de la densidad" dataDxfId="316"/>
    <tableColumn id="18" xr3:uid="{00000000-0010-0000-0C00-000012000000}" name="Volumen cm3" dataDxfId="315"/>
    <tableColumn id="19" xr3:uid="{00000000-0010-0000-0C00-000013000000}" name="Incertidumbre del volumen cm3" dataDxfId="314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D000000}" name="tblBD_PatronMasa131511" displayName="tblBD_PatronMasa131511" ref="H94:Z248" totalsRowShown="0" headerRowDxfId="313" dataDxfId="311" headerRowBorderDxfId="312" tableBorderDxfId="310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09"/>
    <tableColumn id="2" xr3:uid="{00000000-0010-0000-0D00-000002000000}" name="Código Patrón" dataDxfId="308"/>
    <tableColumn id="3" xr3:uid="{00000000-0010-0000-0D00-000003000000}" name="Marca" dataDxfId="307"/>
    <tableColumn id="4" xr3:uid="{00000000-0010-0000-0D00-000004000000}" name="Clase" dataDxfId="306"/>
    <tableColumn id="5" xr3:uid="{00000000-0010-0000-0D00-000005000000}" name="Masa nominal mN                              (g)" dataDxfId="305"/>
    <tableColumn id="6" xr3:uid="{00000000-0010-0000-0D00-000006000000}" name="Error certificado calibración δmc                  (mg)" dataDxfId="304"/>
    <tableColumn id="7" xr3:uid="{00000000-0010-0000-0D00-000007000000}" name="Masa convenc. mN–(mpe–U95) &lt;mc&lt; mN+(mpe–U95)" dataDxfId="303"/>
    <tableColumn id="8" xr3:uid="{00000000-0010-0000-0D00-000008000000}" name="Incertidumbre certificado calibración u          (mg)" dataDxfId="302"/>
    <tableColumn id="9" xr3:uid="{00000000-0010-0000-0D00-000009000000}" name="Deriva D D&lt;=mpe/3" dataDxfId="301"/>
    <tableColumn id="14" xr3:uid="{00000000-0010-0000-0D00-00000E000000}" name="Incertidumbre deriva u(δmD) = D/Ö3" dataDxfId="300"/>
    <tableColumn id="10" xr3:uid="{00000000-0010-0000-0D00-00000A000000}" name="Fecha revisión deriva" dataDxfId="299"/>
    <tableColumn id="11" xr3:uid="{00000000-0010-0000-0D00-00000B000000}" name="mpe" dataDxfId="298"/>
    <tableColumn id="12" xr3:uid="{00000000-0010-0000-0D00-00000C000000}" name="Fecha calibración (certificado calibración)" dataDxfId="297"/>
    <tableColumn id="13" xr3:uid="{00000000-0010-0000-0D00-00000D000000}" name="Laboratorio/Certificado" dataDxfId="296"/>
    <tableColumn id="15" xr3:uid="{00000000-0010-0000-0D00-00000F000000}" name="Material" dataDxfId="295"/>
    <tableColumn id="16" xr3:uid="{00000000-0010-0000-0D00-000010000000}" name="Densidad r (kg/m³)" dataDxfId="294"/>
    <tableColumn id="17" xr3:uid="{00000000-0010-0000-0D00-000011000000}" name="incertidumbre de la densidad" dataDxfId="293"/>
    <tableColumn id="18" xr3:uid="{00000000-0010-0000-0D00-000012000000}" name="Volumen cm3" dataDxfId="292"/>
    <tableColumn id="19" xr3:uid="{00000000-0010-0000-0D00-000013000000}" name="Incertidumbre del volumen cm3" dataDxfId="291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E000000}" name="tblBD_PatronMasa131512" displayName="tblBD_PatronMasa131512" ref="H94:Z248" totalsRowShown="0" headerRowDxfId="290" dataDxfId="288" headerRowBorderDxfId="289" tableBorderDxfId="287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286"/>
    <tableColumn id="2" xr3:uid="{00000000-0010-0000-0E00-000002000000}" name="Código Patrón" dataDxfId="285"/>
    <tableColumn id="3" xr3:uid="{00000000-0010-0000-0E00-000003000000}" name="Marca" dataDxfId="284"/>
    <tableColumn id="4" xr3:uid="{00000000-0010-0000-0E00-000004000000}" name="Clase" dataDxfId="283"/>
    <tableColumn id="5" xr3:uid="{00000000-0010-0000-0E00-000005000000}" name="Masa nominal mN                              (g)" dataDxfId="282"/>
    <tableColumn id="6" xr3:uid="{00000000-0010-0000-0E00-000006000000}" name="Error certificado calibración δmc                  (mg)" dataDxfId="281"/>
    <tableColumn id="7" xr3:uid="{00000000-0010-0000-0E00-000007000000}" name="Masa convenc. mN–(mpe–U95) &lt;mc&lt; mN+(mpe–U95)" dataDxfId="280"/>
    <tableColumn id="8" xr3:uid="{00000000-0010-0000-0E00-000008000000}" name="Incertidumbre certificado calibración u          (mg)" dataDxfId="279"/>
    <tableColumn id="9" xr3:uid="{00000000-0010-0000-0E00-000009000000}" name="Deriva D D&lt;=mpe/3" dataDxfId="278"/>
    <tableColumn id="14" xr3:uid="{00000000-0010-0000-0E00-00000E000000}" name="Incertidumbre deriva u(δmD) = D/Ö3" dataDxfId="277"/>
    <tableColumn id="10" xr3:uid="{00000000-0010-0000-0E00-00000A000000}" name="Fecha revisión deriva" dataDxfId="276"/>
    <tableColumn id="11" xr3:uid="{00000000-0010-0000-0E00-00000B000000}" name="mpe" dataDxfId="275"/>
    <tableColumn id="12" xr3:uid="{00000000-0010-0000-0E00-00000C000000}" name="Fecha calibración (certificado calibración)" dataDxfId="274"/>
    <tableColumn id="13" xr3:uid="{00000000-0010-0000-0E00-00000D000000}" name="Laboratorio/Certificado" dataDxfId="273"/>
    <tableColumn id="15" xr3:uid="{00000000-0010-0000-0E00-00000F000000}" name="Material" dataDxfId="272"/>
    <tableColumn id="16" xr3:uid="{00000000-0010-0000-0E00-000010000000}" name="Densidad r (kg/m³)" dataDxfId="271"/>
    <tableColumn id="17" xr3:uid="{00000000-0010-0000-0E00-000011000000}" name="incertidumbre de la densidad" dataDxfId="270"/>
    <tableColumn id="18" xr3:uid="{00000000-0010-0000-0E00-000012000000}" name="Volumen cm3" dataDxfId="269"/>
    <tableColumn id="19" xr3:uid="{00000000-0010-0000-0E00-000013000000}" name="Incertidumbre del volumen cm3" dataDxfId="26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F000000}" name="tblBD_PatronMasa131513" displayName="tblBD_PatronMasa131513" ref="H94:Z248" totalsRowShown="0" headerRowDxfId="267" dataDxfId="265" headerRowBorderDxfId="266" tableBorderDxfId="264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63"/>
    <tableColumn id="2" xr3:uid="{00000000-0010-0000-0F00-000002000000}" name="Código Patrón" dataDxfId="262"/>
    <tableColumn id="3" xr3:uid="{00000000-0010-0000-0F00-000003000000}" name="Marca" dataDxfId="261"/>
    <tableColumn id="4" xr3:uid="{00000000-0010-0000-0F00-000004000000}" name="Clase" dataDxfId="260"/>
    <tableColumn id="5" xr3:uid="{00000000-0010-0000-0F00-000005000000}" name="Masa nominal mN                              (g)" dataDxfId="259"/>
    <tableColumn id="6" xr3:uid="{00000000-0010-0000-0F00-000006000000}" name="Error certificado calibración δmc                  (mg)" dataDxfId="258"/>
    <tableColumn id="7" xr3:uid="{00000000-0010-0000-0F00-000007000000}" name="Masa convenc. mN–(mpe–U95) &lt;mc&lt; mN+(mpe–U95)" dataDxfId="257"/>
    <tableColumn id="8" xr3:uid="{00000000-0010-0000-0F00-000008000000}" name="Incertidumbre certificado calibración u          (mg)" dataDxfId="256"/>
    <tableColumn id="9" xr3:uid="{00000000-0010-0000-0F00-000009000000}" name="Deriva D D&lt;=mpe/3" dataDxfId="255"/>
    <tableColumn id="14" xr3:uid="{00000000-0010-0000-0F00-00000E000000}" name="Incertidumbre deriva u(δmD) = D/Ö3" dataDxfId="254"/>
    <tableColumn id="10" xr3:uid="{00000000-0010-0000-0F00-00000A000000}" name="Fecha revisión deriva" dataDxfId="253"/>
    <tableColumn id="11" xr3:uid="{00000000-0010-0000-0F00-00000B000000}" name="mpe" dataDxfId="252"/>
    <tableColumn id="12" xr3:uid="{00000000-0010-0000-0F00-00000C000000}" name="Fecha calibración (certificado calibración)" dataDxfId="251"/>
    <tableColumn id="13" xr3:uid="{00000000-0010-0000-0F00-00000D000000}" name="Laboratorio/Certificado" dataDxfId="250"/>
    <tableColumn id="15" xr3:uid="{00000000-0010-0000-0F00-00000F000000}" name="Material" dataDxfId="249"/>
    <tableColumn id="16" xr3:uid="{00000000-0010-0000-0F00-000010000000}" name="Densidad r (kg/m³)" dataDxfId="248"/>
    <tableColumn id="17" xr3:uid="{00000000-0010-0000-0F00-000011000000}" name="incertidumbre de la densidad" dataDxfId="247"/>
    <tableColumn id="18" xr3:uid="{00000000-0010-0000-0F00-000012000000}" name="Volumen cm3" dataDxfId="246"/>
    <tableColumn id="19" xr3:uid="{00000000-0010-0000-0F00-000013000000}" name="Incertidumbre del volumen cm3" dataDxfId="24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0000000}" name="tblBD_PatronMasa131514" displayName="tblBD_PatronMasa131514" ref="H94:Z248" totalsRowShown="0" headerRowDxfId="244" dataDxfId="242" headerRowBorderDxfId="243" tableBorderDxfId="241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40"/>
    <tableColumn id="2" xr3:uid="{00000000-0010-0000-1000-000002000000}" name="Código Patrón" dataDxfId="239"/>
    <tableColumn id="3" xr3:uid="{00000000-0010-0000-1000-000003000000}" name="Marca" dataDxfId="238"/>
    <tableColumn id="4" xr3:uid="{00000000-0010-0000-1000-000004000000}" name="Clase" dataDxfId="237"/>
    <tableColumn id="5" xr3:uid="{00000000-0010-0000-1000-000005000000}" name="Masa nominal mN                              (g)" dataDxfId="236"/>
    <tableColumn id="6" xr3:uid="{00000000-0010-0000-1000-000006000000}" name="Error certificado calibración δmc                  (mg)" dataDxfId="235"/>
    <tableColumn id="7" xr3:uid="{00000000-0010-0000-1000-000007000000}" name="Masa convenc. mN–(mpe–U95) &lt;mc&lt; mN+(mpe–U95)" dataDxfId="234"/>
    <tableColumn id="8" xr3:uid="{00000000-0010-0000-1000-000008000000}" name="Incertidumbre certificado calibración u          (mg)" dataDxfId="233"/>
    <tableColumn id="9" xr3:uid="{00000000-0010-0000-1000-000009000000}" name="Deriva D D&lt;=mpe/3" dataDxfId="232"/>
    <tableColumn id="14" xr3:uid="{00000000-0010-0000-1000-00000E000000}" name="Incertidumbre deriva u(δmD) = D/Ö3" dataDxfId="231"/>
    <tableColumn id="10" xr3:uid="{00000000-0010-0000-1000-00000A000000}" name="Fecha revisión deriva" dataDxfId="230"/>
    <tableColumn id="11" xr3:uid="{00000000-0010-0000-1000-00000B000000}" name="mpe" dataDxfId="229"/>
    <tableColumn id="12" xr3:uid="{00000000-0010-0000-1000-00000C000000}" name="Fecha calibración (certificado calibración)" dataDxfId="228"/>
    <tableColumn id="13" xr3:uid="{00000000-0010-0000-1000-00000D000000}" name="Laboratorio/Certificado" dataDxfId="227"/>
    <tableColumn id="15" xr3:uid="{00000000-0010-0000-1000-00000F000000}" name="Material" dataDxfId="226"/>
    <tableColumn id="16" xr3:uid="{00000000-0010-0000-1000-000010000000}" name="Densidad r (kg/m³)" dataDxfId="225"/>
    <tableColumn id="17" xr3:uid="{00000000-0010-0000-1000-000011000000}" name="incertidumbre de la densidad" dataDxfId="224"/>
    <tableColumn id="18" xr3:uid="{00000000-0010-0000-1000-000012000000}" name="Volumen cm3" dataDxfId="223"/>
    <tableColumn id="19" xr3:uid="{00000000-0010-0000-1000-000013000000}" name="Incertidumbre del volumen cm3" dataDxfId="222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11000000}" name="tblBD_PatronMasa131516" displayName="tblBD_PatronMasa131516" ref="H94:Z248" totalsRowShown="0" headerRowDxfId="221" dataDxfId="219" headerRowBorderDxfId="220" tableBorderDxfId="218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17"/>
    <tableColumn id="2" xr3:uid="{00000000-0010-0000-1100-000002000000}" name="Código Patrón" dataDxfId="216"/>
    <tableColumn id="3" xr3:uid="{00000000-0010-0000-1100-000003000000}" name="Marca" dataDxfId="215"/>
    <tableColumn id="4" xr3:uid="{00000000-0010-0000-1100-000004000000}" name="Clase" dataDxfId="214"/>
    <tableColumn id="5" xr3:uid="{00000000-0010-0000-1100-000005000000}" name="Masa nominal mN                              (g)" dataDxfId="213"/>
    <tableColumn id="6" xr3:uid="{00000000-0010-0000-1100-000006000000}" name="Error certificado calibración δmc                  (mg)" dataDxfId="212"/>
    <tableColumn id="7" xr3:uid="{00000000-0010-0000-1100-000007000000}" name="Masa convenc. mN–(mpe–U95) &lt;mc&lt; mN+(mpe–U95)" dataDxfId="211"/>
    <tableColumn id="8" xr3:uid="{00000000-0010-0000-1100-000008000000}" name="Incertidumbre certificado calibración u          (mg)" dataDxfId="210"/>
    <tableColumn id="9" xr3:uid="{00000000-0010-0000-1100-000009000000}" name="Deriva D D&lt;=mpe/3" dataDxfId="209"/>
    <tableColumn id="14" xr3:uid="{00000000-0010-0000-1100-00000E000000}" name="Incertidumbre deriva u(δmD) = D/Ö3" dataDxfId="208"/>
    <tableColumn id="10" xr3:uid="{00000000-0010-0000-1100-00000A000000}" name="Fecha revisión deriva" dataDxfId="207"/>
    <tableColumn id="11" xr3:uid="{00000000-0010-0000-1100-00000B000000}" name="mpe" dataDxfId="206"/>
    <tableColumn id="12" xr3:uid="{00000000-0010-0000-1100-00000C000000}" name="Fecha calibración (certificado calibración)" dataDxfId="205"/>
    <tableColumn id="13" xr3:uid="{00000000-0010-0000-1100-00000D000000}" name="Laboratorio/Certificado" dataDxfId="204"/>
    <tableColumn id="15" xr3:uid="{00000000-0010-0000-1100-00000F000000}" name="Material" dataDxfId="203"/>
    <tableColumn id="16" xr3:uid="{00000000-0010-0000-1100-000010000000}" name="Densidad r (kg/m³)" dataDxfId="202"/>
    <tableColumn id="17" xr3:uid="{00000000-0010-0000-1100-000011000000}" name="incertidumbre de la densidad" dataDxfId="201"/>
    <tableColumn id="18" xr3:uid="{00000000-0010-0000-1100-000012000000}" name="Volumen cm3" dataDxfId="200"/>
    <tableColumn id="19" xr3:uid="{00000000-0010-0000-1100-000013000000}" name="Incertidumbre del volumen cm3" dataDxfId="199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2000000}" name="tblBD_PatronMasa131517" displayName="tblBD_PatronMasa131517" ref="H94:Z248" totalsRowShown="0" headerRowDxfId="198" dataDxfId="196" headerRowBorderDxfId="197" tableBorderDxfId="195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194"/>
    <tableColumn id="2" xr3:uid="{00000000-0010-0000-1200-000002000000}" name="Código Patrón" dataDxfId="193"/>
    <tableColumn id="3" xr3:uid="{00000000-0010-0000-1200-000003000000}" name="Marca" dataDxfId="192"/>
    <tableColumn id="4" xr3:uid="{00000000-0010-0000-1200-000004000000}" name="Clase" dataDxfId="191"/>
    <tableColumn id="5" xr3:uid="{00000000-0010-0000-1200-000005000000}" name="Masa nominal mN                              (g)" dataDxfId="190"/>
    <tableColumn id="6" xr3:uid="{00000000-0010-0000-1200-000006000000}" name="Error certificado calibración δmc                  (mg)" dataDxfId="189"/>
    <tableColumn id="7" xr3:uid="{00000000-0010-0000-1200-000007000000}" name="Masa convenc. mN–(mpe–U95) &lt;mc&lt; mN+(mpe–U95)" dataDxfId="188"/>
    <tableColumn id="8" xr3:uid="{00000000-0010-0000-1200-000008000000}" name="Incertidumbre certificado calibración u          (mg)" dataDxfId="187"/>
    <tableColumn id="9" xr3:uid="{00000000-0010-0000-1200-000009000000}" name="Deriva D D&lt;=mpe/3" dataDxfId="186"/>
    <tableColumn id="14" xr3:uid="{00000000-0010-0000-1200-00000E000000}" name="Incertidumbre deriva u(δmD) = D/Ö3" dataDxfId="185"/>
    <tableColumn id="10" xr3:uid="{00000000-0010-0000-1200-00000A000000}" name="Fecha revisión deriva" dataDxfId="184"/>
    <tableColumn id="11" xr3:uid="{00000000-0010-0000-1200-00000B000000}" name="mpe" dataDxfId="183"/>
    <tableColumn id="12" xr3:uid="{00000000-0010-0000-1200-00000C000000}" name="Fecha calibración (certificado calibración)" dataDxfId="182"/>
    <tableColumn id="13" xr3:uid="{00000000-0010-0000-1200-00000D000000}" name="Laboratorio/Certificado" dataDxfId="181"/>
    <tableColumn id="15" xr3:uid="{00000000-0010-0000-1200-00000F000000}" name="Material" dataDxfId="180"/>
    <tableColumn id="16" xr3:uid="{00000000-0010-0000-1200-000010000000}" name="Densidad r (kg/m³)" dataDxfId="179"/>
    <tableColumn id="17" xr3:uid="{00000000-0010-0000-1200-000011000000}" name="incertidumbre de la densidad" dataDxfId="178"/>
    <tableColumn id="18" xr3:uid="{00000000-0010-0000-1200-000012000000}" name="Volumen cm3" dataDxfId="177"/>
    <tableColumn id="19" xr3:uid="{00000000-0010-0000-1200-000013000000}" name="Incertidumbre del volumen cm3" dataDxfId="176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3000000}" name="tblBD_PatronMasa131518" displayName="tblBD_PatronMasa131518" ref="H94:Z248" totalsRowShown="0" headerRowDxfId="175" dataDxfId="173" headerRowBorderDxfId="174" tableBorderDxfId="172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71"/>
    <tableColumn id="2" xr3:uid="{00000000-0010-0000-1300-000002000000}" name="Código Patrón" dataDxfId="170"/>
    <tableColumn id="3" xr3:uid="{00000000-0010-0000-1300-000003000000}" name="Marca" dataDxfId="169"/>
    <tableColumn id="4" xr3:uid="{00000000-0010-0000-1300-000004000000}" name="Clase" dataDxfId="168"/>
    <tableColumn id="5" xr3:uid="{00000000-0010-0000-1300-000005000000}" name="Masa nominal mN                              (g)" dataDxfId="167"/>
    <tableColumn id="6" xr3:uid="{00000000-0010-0000-1300-000006000000}" name="Error certificado calibración δmc                  (mg)" dataDxfId="166"/>
    <tableColumn id="7" xr3:uid="{00000000-0010-0000-1300-000007000000}" name="Masa convenc. mN–(mpe–U95) &lt;mc&lt; mN+(mpe–U95)" dataDxfId="165"/>
    <tableColumn id="8" xr3:uid="{00000000-0010-0000-1300-000008000000}" name="Incertidumbre certificado calibración u          (mg)" dataDxfId="164"/>
    <tableColumn id="9" xr3:uid="{00000000-0010-0000-1300-000009000000}" name="Deriva D D&lt;=mpe/3" dataDxfId="163"/>
    <tableColumn id="14" xr3:uid="{00000000-0010-0000-1300-00000E000000}" name="Incertidumbre deriva u(δmD) = D/Ö3" dataDxfId="162"/>
    <tableColumn id="10" xr3:uid="{00000000-0010-0000-1300-00000A000000}" name="Fecha revisión deriva" dataDxfId="161"/>
    <tableColumn id="11" xr3:uid="{00000000-0010-0000-1300-00000B000000}" name="mpe" dataDxfId="160"/>
    <tableColumn id="12" xr3:uid="{00000000-0010-0000-1300-00000C000000}" name="Fecha calibración (certificado calibración)" dataDxfId="159"/>
    <tableColumn id="13" xr3:uid="{00000000-0010-0000-1300-00000D000000}" name="Laboratorio/Certificado" dataDxfId="158"/>
    <tableColumn id="15" xr3:uid="{00000000-0010-0000-1300-00000F000000}" name="Material" dataDxfId="157"/>
    <tableColumn id="16" xr3:uid="{00000000-0010-0000-1300-000010000000}" name="Densidad r (kg/m³)" dataDxfId="156"/>
    <tableColumn id="17" xr3:uid="{00000000-0010-0000-1300-000011000000}" name="incertidumbre de la densidad" dataDxfId="155"/>
    <tableColumn id="18" xr3:uid="{00000000-0010-0000-1300-000012000000}" name="Volumen cm3" dataDxfId="154"/>
    <tableColumn id="19" xr3:uid="{00000000-0010-0000-1300-000013000000}" name="Incertidumbre del volumen cm3" dataDxfId="153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4000000}" name="tblBD_PatronMasa131519" displayName="tblBD_PatronMasa131519" ref="H94:Z248" totalsRowShown="0" headerRowDxfId="152" dataDxfId="150" headerRowBorderDxfId="151" tableBorderDxfId="149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48"/>
    <tableColumn id="2" xr3:uid="{00000000-0010-0000-1400-000002000000}" name="Código Patrón" dataDxfId="147"/>
    <tableColumn id="3" xr3:uid="{00000000-0010-0000-1400-000003000000}" name="Marca" dataDxfId="146"/>
    <tableColumn id="4" xr3:uid="{00000000-0010-0000-1400-000004000000}" name="Clase" dataDxfId="145"/>
    <tableColumn id="5" xr3:uid="{00000000-0010-0000-1400-000005000000}" name="Masa nominal mN                              (g)" dataDxfId="144"/>
    <tableColumn id="6" xr3:uid="{00000000-0010-0000-1400-000006000000}" name="Error certificado calibración δmc                  (mg)" dataDxfId="143"/>
    <tableColumn id="7" xr3:uid="{00000000-0010-0000-1400-000007000000}" name="Masa convenc. mN–(mpe–U95) &lt;mc&lt; mN+(mpe–U95)" dataDxfId="142"/>
    <tableColumn id="8" xr3:uid="{00000000-0010-0000-1400-000008000000}" name="Incertidumbre certificado calibración u          (mg)" dataDxfId="141"/>
    <tableColumn id="9" xr3:uid="{00000000-0010-0000-1400-000009000000}" name="Deriva D D&lt;=mpe/3" dataDxfId="140"/>
    <tableColumn id="14" xr3:uid="{00000000-0010-0000-1400-00000E000000}" name="Incertidumbre deriva u(δmD) = D/Ö3" dataDxfId="139"/>
    <tableColumn id="10" xr3:uid="{00000000-0010-0000-1400-00000A000000}" name="Fecha revisión deriva" dataDxfId="138"/>
    <tableColumn id="11" xr3:uid="{00000000-0010-0000-1400-00000B000000}" name="mpe" dataDxfId="137"/>
    <tableColumn id="12" xr3:uid="{00000000-0010-0000-1400-00000C000000}" name="Fecha calibración (certificado calibración)" dataDxfId="136"/>
    <tableColumn id="13" xr3:uid="{00000000-0010-0000-1400-00000D000000}" name="Laboratorio/Certificado" dataDxfId="135"/>
    <tableColumn id="15" xr3:uid="{00000000-0010-0000-1400-00000F000000}" name="Material" dataDxfId="134"/>
    <tableColumn id="16" xr3:uid="{00000000-0010-0000-1400-000010000000}" name="Densidad r (kg/m³)" dataDxfId="133"/>
    <tableColumn id="17" xr3:uid="{00000000-0010-0000-1400-000011000000}" name="incertidumbre de la densidad" dataDxfId="132"/>
    <tableColumn id="18" xr3:uid="{00000000-0010-0000-1400-000012000000}" name="Volumen cm3" dataDxfId="131"/>
    <tableColumn id="19" xr3:uid="{00000000-0010-0000-1400-000013000000}" name="Incertidumbre del volumen cm3" dataDxfId="130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5000000}" name="tblBD_PatronMasa131520" displayName="tblBD_PatronMasa131520" ref="H94:Z248" totalsRowShown="0" headerRowDxfId="129" dataDxfId="127" headerRowBorderDxfId="128" tableBorderDxfId="126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25"/>
    <tableColumn id="2" xr3:uid="{00000000-0010-0000-1500-000002000000}" name="Código Patrón" dataDxfId="124"/>
    <tableColumn id="3" xr3:uid="{00000000-0010-0000-1500-000003000000}" name="Marca" dataDxfId="123"/>
    <tableColumn id="4" xr3:uid="{00000000-0010-0000-1500-000004000000}" name="Clase" dataDxfId="122"/>
    <tableColumn id="5" xr3:uid="{00000000-0010-0000-1500-000005000000}" name="Masa nominal mN                              (g)" dataDxfId="121"/>
    <tableColumn id="6" xr3:uid="{00000000-0010-0000-1500-000006000000}" name="Error certificado calibración δmc                  (mg)" dataDxfId="120"/>
    <tableColumn id="7" xr3:uid="{00000000-0010-0000-1500-000007000000}" name="Masa convenc. mN–(mpe–U95) &lt;mc&lt; mN+(mpe–U95)" dataDxfId="119"/>
    <tableColumn id="8" xr3:uid="{00000000-0010-0000-1500-000008000000}" name="Incertidumbre certificado calibración u          (mg)" dataDxfId="118"/>
    <tableColumn id="9" xr3:uid="{00000000-0010-0000-1500-000009000000}" name="Deriva D D&lt;=mpe/3" dataDxfId="117"/>
    <tableColumn id="14" xr3:uid="{00000000-0010-0000-1500-00000E000000}" name="Incertidumbre deriva u(δmD) = D/Ö3" dataDxfId="116"/>
    <tableColumn id="10" xr3:uid="{00000000-0010-0000-1500-00000A000000}" name="Fecha revisión deriva" dataDxfId="115"/>
    <tableColumn id="11" xr3:uid="{00000000-0010-0000-1500-00000B000000}" name="mpe" dataDxfId="114"/>
    <tableColumn id="12" xr3:uid="{00000000-0010-0000-1500-00000C000000}" name="Fecha calibración (certificado calibración)" dataDxfId="113"/>
    <tableColumn id="13" xr3:uid="{00000000-0010-0000-1500-00000D000000}" name="Laboratorio/Certificado" dataDxfId="112"/>
    <tableColumn id="15" xr3:uid="{00000000-0010-0000-1500-00000F000000}" name="Material" dataDxfId="111"/>
    <tableColumn id="16" xr3:uid="{00000000-0010-0000-1500-000010000000}" name="Densidad r (kg/m³)" dataDxfId="110"/>
    <tableColumn id="17" xr3:uid="{00000000-0010-0000-1500-000011000000}" name="incertidumbre de la densidad" dataDxfId="109"/>
    <tableColumn id="18" xr3:uid="{00000000-0010-0000-1500-000012000000}" name="Volumen cm3" dataDxfId="108"/>
    <tableColumn id="19" xr3:uid="{00000000-0010-0000-1500-000013000000}" name="Incertidumbre del volumen cm3" dataDxfId="107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6000000}" name="tblBD_PatronMasa131521" displayName="tblBD_PatronMasa131521" ref="H94:Z248" totalsRowShown="0" headerRowDxfId="106" dataDxfId="104" headerRowBorderDxfId="105" tableBorderDxfId="103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02"/>
    <tableColumn id="2" xr3:uid="{00000000-0010-0000-1600-000002000000}" name="Código Patrón" dataDxfId="101"/>
    <tableColumn id="3" xr3:uid="{00000000-0010-0000-1600-000003000000}" name="Marca" dataDxfId="100"/>
    <tableColumn id="4" xr3:uid="{00000000-0010-0000-1600-000004000000}" name="Clase" dataDxfId="99"/>
    <tableColumn id="5" xr3:uid="{00000000-0010-0000-1600-000005000000}" name="Masa nominal mN                              (g)" dataDxfId="98"/>
    <tableColumn id="6" xr3:uid="{00000000-0010-0000-1600-000006000000}" name="Error certificado calibración δmc                  (mg)" dataDxfId="97"/>
    <tableColumn id="7" xr3:uid="{00000000-0010-0000-1600-000007000000}" name="Masa convenc. mN–(mpe–U95) &lt;mc&lt; mN+(mpe–U95)" dataDxfId="96"/>
    <tableColumn id="8" xr3:uid="{00000000-0010-0000-1600-000008000000}" name="Incertidumbre certificado calibración u          (mg)" dataDxfId="95"/>
    <tableColumn id="9" xr3:uid="{00000000-0010-0000-1600-000009000000}" name="Deriva D D&lt;=mpe/3" dataDxfId="94"/>
    <tableColumn id="14" xr3:uid="{00000000-0010-0000-1600-00000E000000}" name="Incertidumbre deriva u(δmD) = D/Ö3" dataDxfId="93"/>
    <tableColumn id="10" xr3:uid="{00000000-0010-0000-1600-00000A000000}" name="Fecha revisión deriva" dataDxfId="92"/>
    <tableColumn id="11" xr3:uid="{00000000-0010-0000-1600-00000B000000}" name="mpe" dataDxfId="91"/>
    <tableColumn id="12" xr3:uid="{00000000-0010-0000-1600-00000C000000}" name="Fecha calibración (certificado calibración)" dataDxfId="90"/>
    <tableColumn id="13" xr3:uid="{00000000-0010-0000-1600-00000D000000}" name="Laboratorio/Certificado" dataDxfId="89"/>
    <tableColumn id="15" xr3:uid="{00000000-0010-0000-1600-00000F000000}" name="Material" dataDxfId="88"/>
    <tableColumn id="16" xr3:uid="{00000000-0010-0000-1600-000010000000}" name="Densidad r (kg/m³)" dataDxfId="87"/>
    <tableColumn id="17" xr3:uid="{00000000-0010-0000-1600-000011000000}" name="incertidumbre de la densidad" dataDxfId="86"/>
    <tableColumn id="18" xr3:uid="{00000000-0010-0000-1600-000012000000}" name="Volumen cm3" dataDxfId="85"/>
    <tableColumn id="19" xr3:uid="{00000000-0010-0000-1600-000013000000}" name="Incertidumbre del volumen cm3" dataDxfId="84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83"/>
    <tableColumn id="2" xr3:uid="{00000000-0010-0000-1700-000002000000}" name="Cliente" dataDxfId="82"/>
    <tableColumn id="3" xr3:uid="{00000000-0010-0000-1700-000003000000}" name="Dirección de la empresa" dataDxfId="8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9.wmf"/><Relationship Id="rId26" Type="http://schemas.openxmlformats.org/officeDocument/2006/relationships/table" Target="../tables/table1.xml"/><Relationship Id="rId3" Type="http://schemas.openxmlformats.org/officeDocument/2006/relationships/drawing" Target="../drawings/drawing1.xml"/><Relationship Id="rId21" Type="http://schemas.openxmlformats.org/officeDocument/2006/relationships/image" Target="../media/image10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2.wmf"/><Relationship Id="rId2" Type="http://schemas.openxmlformats.org/officeDocument/2006/relationships/printerSettings" Target="../printerSettings/printerSettings3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11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2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16.bin"/><Relationship Id="rId18" Type="http://schemas.openxmlformats.org/officeDocument/2006/relationships/image" Target="../media/image9.wmf"/><Relationship Id="rId26" Type="http://schemas.openxmlformats.org/officeDocument/2006/relationships/table" Target="../tables/table2.xml"/><Relationship Id="rId3" Type="http://schemas.openxmlformats.org/officeDocument/2006/relationships/drawing" Target="../drawings/drawing2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13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18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4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20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15.bin"/><Relationship Id="rId24" Type="http://schemas.openxmlformats.org/officeDocument/2006/relationships/oleObject" Target="../embeddings/oleObject22.bin"/><Relationship Id="rId5" Type="http://schemas.openxmlformats.org/officeDocument/2006/relationships/oleObject" Target="../embeddings/oleObject12.bin"/><Relationship Id="rId15" Type="http://schemas.openxmlformats.org/officeDocument/2006/relationships/oleObject" Target="../embeddings/oleObject17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19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14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21.bin"/><Relationship Id="rId27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wmf"/><Relationship Id="rId13" Type="http://schemas.openxmlformats.org/officeDocument/2006/relationships/oleObject" Target="../embeddings/oleObject27.bin"/><Relationship Id="rId18" Type="http://schemas.openxmlformats.org/officeDocument/2006/relationships/image" Target="../media/image9.wmf"/><Relationship Id="rId26" Type="http://schemas.openxmlformats.org/officeDocument/2006/relationships/table" Target="../tables/table3.xml"/><Relationship Id="rId3" Type="http://schemas.openxmlformats.org/officeDocument/2006/relationships/drawing" Target="../drawings/drawing3.xml"/><Relationship Id="rId21" Type="http://schemas.openxmlformats.org/officeDocument/2006/relationships/image" Target="../media/image11.wmf"/><Relationship Id="rId7" Type="http://schemas.openxmlformats.org/officeDocument/2006/relationships/oleObject" Target="../embeddings/oleObject24.bin"/><Relationship Id="rId12" Type="http://schemas.openxmlformats.org/officeDocument/2006/relationships/image" Target="../media/image6.wmf"/><Relationship Id="rId17" Type="http://schemas.openxmlformats.org/officeDocument/2006/relationships/oleObject" Target="../embeddings/oleObject29.bin"/><Relationship Id="rId25" Type="http://schemas.openxmlformats.org/officeDocument/2006/relationships/image" Target="../media/image34.emf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8.wmf"/><Relationship Id="rId20" Type="http://schemas.openxmlformats.org/officeDocument/2006/relationships/oleObject" Target="../embeddings/oleObject31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3.emf"/><Relationship Id="rId11" Type="http://schemas.openxmlformats.org/officeDocument/2006/relationships/oleObject" Target="../embeddings/oleObject26.bin"/><Relationship Id="rId24" Type="http://schemas.openxmlformats.org/officeDocument/2006/relationships/oleObject" Target="../embeddings/oleObject33.bin"/><Relationship Id="rId5" Type="http://schemas.openxmlformats.org/officeDocument/2006/relationships/oleObject" Target="../embeddings/oleObject23.bin"/><Relationship Id="rId15" Type="http://schemas.openxmlformats.org/officeDocument/2006/relationships/oleObject" Target="../embeddings/oleObject28.bin"/><Relationship Id="rId23" Type="http://schemas.openxmlformats.org/officeDocument/2006/relationships/image" Target="../media/image12.wmf"/><Relationship Id="rId10" Type="http://schemas.openxmlformats.org/officeDocument/2006/relationships/image" Target="../media/image5.wmf"/><Relationship Id="rId19" Type="http://schemas.openxmlformats.org/officeDocument/2006/relationships/oleObject" Target="../embeddings/oleObject30.bin"/><Relationship Id="rId4" Type="http://schemas.openxmlformats.org/officeDocument/2006/relationships/vmlDrawing" Target="../drawings/vmlDrawing4.vml"/><Relationship Id="rId9" Type="http://schemas.openxmlformats.org/officeDocument/2006/relationships/oleObject" Target="../embeddings/oleObject25.bin"/><Relationship Id="rId14" Type="http://schemas.openxmlformats.org/officeDocument/2006/relationships/image" Target="../media/image7.wmf"/><Relationship Id="rId22" Type="http://schemas.openxmlformats.org/officeDocument/2006/relationships/oleObject" Target="../embeddings/oleObject32.bin"/><Relationship Id="rId27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9.wmf"/><Relationship Id="rId25" Type="http://schemas.openxmlformats.org/officeDocument/2006/relationships/table" Target="../tables/table4.xml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2.w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9.wmf"/><Relationship Id="rId25" Type="http://schemas.openxmlformats.org/officeDocument/2006/relationships/table" Target="../tables/table5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2.w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63.bin"/><Relationship Id="rId26" Type="http://schemas.openxmlformats.org/officeDocument/2006/relationships/comments" Target="../comments6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9.wmf"/><Relationship Id="rId25" Type="http://schemas.openxmlformats.org/officeDocument/2006/relationships/table" Target="../tables/table6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2.w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9.wmf"/><Relationship Id="rId25" Type="http://schemas.openxmlformats.org/officeDocument/2006/relationships/table" Target="../tables/table7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2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85.bin"/><Relationship Id="rId26" Type="http://schemas.openxmlformats.org/officeDocument/2006/relationships/comments" Target="../comments8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9.wmf"/><Relationship Id="rId25" Type="http://schemas.openxmlformats.org/officeDocument/2006/relationships/table" Target="../tables/table8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2.w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9.wmf"/><Relationship Id="rId25" Type="http://schemas.openxmlformats.org/officeDocument/2006/relationships/table" Target="../tables/table9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2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9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2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9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2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9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2.w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9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2.w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51.bin"/><Relationship Id="rId26" Type="http://schemas.openxmlformats.org/officeDocument/2006/relationships/table" Target="../tables/table14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1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54.bin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2.wmf"/><Relationship Id="rId27" Type="http://schemas.openxmlformats.org/officeDocument/2006/relationships/comments" Target="../comments14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9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2.w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9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2.w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9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2.w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195.bin"/><Relationship Id="rId26" Type="http://schemas.openxmlformats.org/officeDocument/2006/relationships/comments" Target="../comments18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9.wmf"/><Relationship Id="rId25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2.w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01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06.bin"/><Relationship Id="rId26" Type="http://schemas.openxmlformats.org/officeDocument/2006/relationships/table" Target="../tables/table19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208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03.bin"/><Relationship Id="rId17" Type="http://schemas.openxmlformats.org/officeDocument/2006/relationships/image" Target="../media/image9.wmf"/><Relationship Id="rId25" Type="http://schemas.openxmlformats.org/officeDocument/2006/relationships/ctrlProp" Target="../ctrlProps/ctrlProp2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205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00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09.bin"/><Relationship Id="rId10" Type="http://schemas.openxmlformats.org/officeDocument/2006/relationships/oleObject" Target="../embeddings/oleObject202.bin"/><Relationship Id="rId19" Type="http://schemas.openxmlformats.org/officeDocument/2006/relationships/oleObject" Target="../embeddings/oleObject207.bin"/><Relationship Id="rId4" Type="http://schemas.openxmlformats.org/officeDocument/2006/relationships/oleObject" Target="../embeddings/oleObject199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04.bin"/><Relationship Id="rId22" Type="http://schemas.openxmlformats.org/officeDocument/2006/relationships/image" Target="../media/image12.wmf"/><Relationship Id="rId27" Type="http://schemas.openxmlformats.org/officeDocument/2006/relationships/comments" Target="../comments1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12.bin"/><Relationship Id="rId13" Type="http://schemas.openxmlformats.org/officeDocument/2006/relationships/image" Target="../media/image7.wmf"/><Relationship Id="rId18" Type="http://schemas.openxmlformats.org/officeDocument/2006/relationships/oleObject" Target="../embeddings/oleObject217.bin"/><Relationship Id="rId26" Type="http://schemas.openxmlformats.org/officeDocument/2006/relationships/comments" Target="../comments20.xml"/><Relationship Id="rId3" Type="http://schemas.openxmlformats.org/officeDocument/2006/relationships/vmlDrawing" Target="../drawings/vmlDrawing21.vml"/><Relationship Id="rId21" Type="http://schemas.openxmlformats.org/officeDocument/2006/relationships/oleObject" Target="../embeddings/oleObject219.bin"/><Relationship Id="rId7" Type="http://schemas.openxmlformats.org/officeDocument/2006/relationships/image" Target="../media/image4.wmf"/><Relationship Id="rId12" Type="http://schemas.openxmlformats.org/officeDocument/2006/relationships/oleObject" Target="../embeddings/oleObject214.bin"/><Relationship Id="rId17" Type="http://schemas.openxmlformats.org/officeDocument/2006/relationships/image" Target="../media/image9.wmf"/><Relationship Id="rId25" Type="http://schemas.openxmlformats.org/officeDocument/2006/relationships/table" Target="../tables/table20.xml"/><Relationship Id="rId2" Type="http://schemas.openxmlformats.org/officeDocument/2006/relationships/drawing" Target="../drawings/drawing20.xml"/><Relationship Id="rId16" Type="http://schemas.openxmlformats.org/officeDocument/2006/relationships/oleObject" Target="../embeddings/oleObject216.bin"/><Relationship Id="rId20" Type="http://schemas.openxmlformats.org/officeDocument/2006/relationships/image" Target="../media/image11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11.bin"/><Relationship Id="rId11" Type="http://schemas.openxmlformats.org/officeDocument/2006/relationships/image" Target="../media/image6.wmf"/><Relationship Id="rId24" Type="http://schemas.openxmlformats.org/officeDocument/2006/relationships/image" Target="../media/image34.emf"/><Relationship Id="rId5" Type="http://schemas.openxmlformats.org/officeDocument/2006/relationships/image" Target="../media/image3.emf"/><Relationship Id="rId15" Type="http://schemas.openxmlformats.org/officeDocument/2006/relationships/image" Target="../media/image8.wmf"/><Relationship Id="rId23" Type="http://schemas.openxmlformats.org/officeDocument/2006/relationships/oleObject" Target="../embeddings/oleObject220.bin"/><Relationship Id="rId10" Type="http://schemas.openxmlformats.org/officeDocument/2006/relationships/oleObject" Target="../embeddings/oleObject213.bin"/><Relationship Id="rId19" Type="http://schemas.openxmlformats.org/officeDocument/2006/relationships/oleObject" Target="../embeddings/oleObject218.bin"/><Relationship Id="rId4" Type="http://schemas.openxmlformats.org/officeDocument/2006/relationships/oleObject" Target="../embeddings/oleObject210.bin"/><Relationship Id="rId9" Type="http://schemas.openxmlformats.org/officeDocument/2006/relationships/image" Target="../media/image5.wmf"/><Relationship Id="rId14" Type="http://schemas.openxmlformats.org/officeDocument/2006/relationships/oleObject" Target="../embeddings/oleObject215.bin"/><Relationship Id="rId22" Type="http://schemas.openxmlformats.org/officeDocument/2006/relationships/image" Target="../media/image12.w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hyperlink" Target="http://www.retecsa.com.ni/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T483"/>
  <sheetViews>
    <sheetView topLeftCell="A9" zoomScale="85" zoomScaleNormal="85" workbookViewId="0">
      <selection activeCell="C14" sqref="C14:D14"/>
    </sheetView>
  </sheetViews>
  <sheetFormatPr baseColWidth="10" defaultColWidth="11.5546875" defaultRowHeight="14.4" x14ac:dyDescent="0.3"/>
  <cols>
    <col min="1" max="1" width="10.33203125" customWidth="1"/>
    <col min="2" max="2" width="15.33203125" customWidth="1"/>
    <col min="3" max="3" width="12.6640625" customWidth="1"/>
    <col min="4" max="4" width="19.109375" customWidth="1"/>
    <col min="5" max="5" width="16" customWidth="1"/>
    <col min="6" max="6" width="20.109375" customWidth="1"/>
    <col min="7" max="7" width="24.88671875" customWidth="1"/>
    <col min="8" max="8" width="18.44140625" customWidth="1"/>
    <col min="9" max="9" width="20.5546875" customWidth="1"/>
    <col min="10" max="10" width="19.33203125" customWidth="1"/>
    <col min="12" max="12" width="21.109375" customWidth="1"/>
    <col min="13" max="13" width="14.88671875" customWidth="1"/>
  </cols>
  <sheetData>
    <row r="3" spans="1:20" x14ac:dyDescent="0.3">
      <c r="S3" s="466"/>
      <c r="T3" s="466"/>
    </row>
    <row r="4" spans="1:20" x14ac:dyDescent="0.3">
      <c r="S4" s="466"/>
      <c r="T4" s="468"/>
    </row>
    <row r="5" spans="1:20" x14ac:dyDescent="0.3">
      <c r="B5" s="610" t="s">
        <v>352</v>
      </c>
      <c r="C5" s="610"/>
      <c r="D5" s="562" t="s">
        <v>1367</v>
      </c>
      <c r="E5" s="563"/>
      <c r="G5" s="63" t="s">
        <v>358</v>
      </c>
      <c r="H5" s="611" t="str">
        <f>VLOOKUP(D6,'Datos Clientes'!B6:C476,2,FALSE)</f>
        <v>Frente al portón Lugo Renta Car, Bolonia</v>
      </c>
      <c r="I5" s="611"/>
      <c r="J5" s="611"/>
      <c r="S5" s="466"/>
      <c r="T5" s="468"/>
    </row>
    <row r="6" spans="1:20" x14ac:dyDescent="0.3">
      <c r="B6" s="610" t="s">
        <v>356</v>
      </c>
      <c r="C6" s="610"/>
      <c r="D6" s="611" t="s">
        <v>1114</v>
      </c>
      <c r="E6" s="611"/>
      <c r="G6" s="63" t="s">
        <v>359</v>
      </c>
      <c r="H6" s="614" t="s">
        <v>1368</v>
      </c>
      <c r="I6" s="614"/>
      <c r="J6" s="614"/>
      <c r="S6" s="466"/>
      <c r="T6" s="468"/>
    </row>
    <row r="7" spans="1:20" x14ac:dyDescent="0.3">
      <c r="B7" s="610" t="s">
        <v>354</v>
      </c>
      <c r="C7" s="610"/>
      <c r="D7" s="628" t="s">
        <v>1365</v>
      </c>
      <c r="E7" s="614"/>
      <c r="G7" s="63" t="s">
        <v>353</v>
      </c>
      <c r="H7" s="614" t="s">
        <v>1364</v>
      </c>
      <c r="I7" s="614"/>
      <c r="J7" s="614"/>
      <c r="S7" s="466"/>
      <c r="T7" s="468"/>
    </row>
    <row r="8" spans="1:20" x14ac:dyDescent="0.3">
      <c r="B8" s="610" t="s">
        <v>700</v>
      </c>
      <c r="C8" s="610"/>
      <c r="D8" s="628" t="s">
        <v>1366</v>
      </c>
      <c r="E8" s="614"/>
      <c r="G8" s="63" t="s">
        <v>789</v>
      </c>
      <c r="H8" s="614" t="s">
        <v>1354</v>
      </c>
      <c r="I8" s="614"/>
      <c r="J8" s="614"/>
      <c r="S8" s="466"/>
      <c r="T8" s="467"/>
    </row>
    <row r="9" spans="1:20" ht="15" customHeight="1" x14ac:dyDescent="0.3">
      <c r="B9" s="610" t="s">
        <v>702</v>
      </c>
      <c r="C9" s="610"/>
      <c r="D9" s="612" t="s">
        <v>28</v>
      </c>
      <c r="E9" s="613"/>
      <c r="S9" s="466"/>
      <c r="T9" s="468"/>
    </row>
    <row r="10" spans="1:20" ht="15" customHeight="1" x14ac:dyDescent="0.3">
      <c r="K10" s="571"/>
      <c r="S10" s="466"/>
      <c r="T10" s="468"/>
    </row>
    <row r="11" spans="1:20" ht="15" customHeight="1" x14ac:dyDescent="0.3">
      <c r="S11" s="466"/>
      <c r="T11" s="468"/>
    </row>
    <row r="12" spans="1:20" ht="15" customHeight="1" x14ac:dyDescent="0.3">
      <c r="S12" s="466"/>
      <c r="T12" s="467"/>
    </row>
    <row r="13" spans="1:20" ht="15" customHeight="1" x14ac:dyDescent="0.3">
      <c r="A13" s="629">
        <v>1</v>
      </c>
      <c r="B13" s="629"/>
      <c r="C13" s="624" t="s">
        <v>360</v>
      </c>
      <c r="D13" s="626"/>
      <c r="E13" s="94" t="s">
        <v>376</v>
      </c>
      <c r="F13" s="94" t="s">
        <v>377</v>
      </c>
      <c r="G13" s="94" t="s">
        <v>16</v>
      </c>
      <c r="H13" s="94" t="s">
        <v>361</v>
      </c>
      <c r="I13" s="94" t="s">
        <v>362</v>
      </c>
      <c r="J13" s="94" t="s">
        <v>36</v>
      </c>
      <c r="S13" s="466"/>
      <c r="T13" s="468"/>
    </row>
    <row r="14" spans="1:20" ht="21.75" customHeight="1" x14ac:dyDescent="0.3">
      <c r="A14" s="629"/>
      <c r="B14" s="629"/>
      <c r="C14" s="622" t="s">
        <v>28</v>
      </c>
      <c r="D14" s="623"/>
      <c r="E14" s="83">
        <f>'1 g'!$I$7</f>
        <v>0</v>
      </c>
      <c r="F14" s="84">
        <f>'1 g'!$I$7+'1 g'!$I$8</f>
        <v>0</v>
      </c>
      <c r="G14" s="83">
        <f>'1 g'!$I$15</f>
        <v>0</v>
      </c>
      <c r="H14" s="85">
        <f>'1 g'!$I$10</f>
        <v>0</v>
      </c>
      <c r="I14" s="83">
        <f>'1 g'!$I$11</f>
        <v>0</v>
      </c>
      <c r="J14" s="85">
        <f>'1 g'!$I$16</f>
        <v>0</v>
      </c>
      <c r="L14" s="63" t="s">
        <v>353</v>
      </c>
      <c r="M14" s="618" t="s">
        <v>480</v>
      </c>
      <c r="N14" s="619"/>
    </row>
    <row r="15" spans="1:20" ht="18.75" customHeight="1" x14ac:dyDescent="0.3">
      <c r="A15" s="629"/>
      <c r="B15" s="629"/>
      <c r="C15" s="622" t="s">
        <v>28</v>
      </c>
      <c r="D15" s="623"/>
      <c r="E15" s="83">
        <f>'1 g'!$J$7</f>
        <v>0</v>
      </c>
      <c r="F15" s="84">
        <f>'1 g'!$J$7+'1 g'!$J$8</f>
        <v>0</v>
      </c>
      <c r="G15" s="83">
        <f>'1 g'!$J$15</f>
        <v>0</v>
      </c>
      <c r="H15" s="85">
        <f>'1 g'!$J$10</f>
        <v>0</v>
      </c>
      <c r="I15" s="83">
        <f>'1 g'!$J$11</f>
        <v>0</v>
      </c>
      <c r="J15" s="85">
        <f>'1 g'!$J$16</f>
        <v>0</v>
      </c>
      <c r="L15" s="63" t="s">
        <v>387</v>
      </c>
      <c r="M15" s="620" t="s">
        <v>735</v>
      </c>
      <c r="N15" s="620"/>
      <c r="S15" s="469"/>
      <c r="T15" s="469"/>
    </row>
    <row r="16" spans="1:20" ht="19.5" customHeight="1" x14ac:dyDescent="0.3">
      <c r="A16" s="629"/>
      <c r="B16" s="629"/>
      <c r="C16" s="622" t="s">
        <v>28</v>
      </c>
      <c r="D16" s="623"/>
      <c r="E16" s="83">
        <f>'1 g'!$K$7</f>
        <v>0</v>
      </c>
      <c r="F16" s="84">
        <f>'1 g'!$K$7+'1 g'!$K$8</f>
        <v>0</v>
      </c>
      <c r="G16" s="83">
        <f>'1 g'!$K$15</f>
        <v>0</v>
      </c>
      <c r="H16" s="85">
        <f>'1 g'!$K$10</f>
        <v>0</v>
      </c>
      <c r="I16" s="83">
        <f>'1 g'!$K$11</f>
        <v>0</v>
      </c>
      <c r="J16" s="85">
        <f>'1 g'!$K$16</f>
        <v>0</v>
      </c>
      <c r="L16" s="63" t="s">
        <v>388</v>
      </c>
      <c r="M16" s="621" t="s">
        <v>29</v>
      </c>
      <c r="N16" s="621"/>
      <c r="S16" s="466"/>
      <c r="T16" s="467"/>
    </row>
    <row r="17" spans="1:20" ht="18.75" customHeight="1" x14ac:dyDescent="0.3">
      <c r="A17" s="629"/>
      <c r="B17" s="629"/>
      <c r="C17" s="622" t="s">
        <v>28</v>
      </c>
      <c r="D17" s="623"/>
      <c r="E17" s="83">
        <f>'1 g'!$L$7</f>
        <v>0</v>
      </c>
      <c r="F17" s="84">
        <f>'1 g'!$L$7+'1 g'!$L$8</f>
        <v>0</v>
      </c>
      <c r="G17" s="83">
        <f>'1 g'!$L$15</f>
        <v>0</v>
      </c>
      <c r="H17" s="85">
        <f>'1 g'!$L$10</f>
        <v>0</v>
      </c>
      <c r="I17" s="83">
        <f>'1 g'!$L$11</f>
        <v>0</v>
      </c>
      <c r="J17" s="85">
        <f>'1 g'!$L$16</f>
        <v>0</v>
      </c>
      <c r="S17" s="466"/>
      <c r="T17" s="467"/>
    </row>
    <row r="18" spans="1:20" ht="20.25" customHeight="1" x14ac:dyDescent="0.3">
      <c r="A18" s="629"/>
      <c r="B18" s="629"/>
      <c r="C18" s="622" t="s">
        <v>28</v>
      </c>
      <c r="D18" s="623"/>
      <c r="E18" s="86">
        <f>'1 g'!$M$7</f>
        <v>0</v>
      </c>
      <c r="F18" s="87">
        <f>'1 g'!$M$7+'1 g'!$M$8</f>
        <v>0</v>
      </c>
      <c r="G18" s="85">
        <f>'1 g'!$M$15</f>
        <v>0</v>
      </c>
      <c r="H18" s="85">
        <f>'1 g'!$M$10</f>
        <v>0</v>
      </c>
      <c r="I18" s="83">
        <f>'1 g'!$M$11</f>
        <v>0</v>
      </c>
      <c r="J18" s="85">
        <f>'1 g'!$M$16</f>
        <v>0</v>
      </c>
      <c r="S18" s="466"/>
      <c r="T18" s="467"/>
    </row>
    <row r="19" spans="1:20" ht="26.25" customHeight="1" x14ac:dyDescent="0.3">
      <c r="A19" s="629"/>
      <c r="B19" s="629"/>
      <c r="C19" s="622" t="s">
        <v>28</v>
      </c>
      <c r="D19" s="623"/>
      <c r="E19" s="86">
        <f>'1 g'!$N$7</f>
        <v>0</v>
      </c>
      <c r="F19" s="87">
        <f>'1 g'!$N$7+'1 g'!$N$8</f>
        <v>0</v>
      </c>
      <c r="G19" s="85">
        <f>'1 g'!$N$15</f>
        <v>0</v>
      </c>
      <c r="H19" s="88">
        <f>'1 g'!$N$10</f>
        <v>0</v>
      </c>
      <c r="I19" s="83">
        <f>'1 g'!$N$11</f>
        <v>0</v>
      </c>
      <c r="J19" s="85">
        <f>'1 g'!$N$16</f>
        <v>0</v>
      </c>
      <c r="S19" s="466"/>
      <c r="T19" s="467"/>
    </row>
    <row r="20" spans="1:20" ht="20.25" customHeight="1" x14ac:dyDescent="0.3">
      <c r="A20" s="629"/>
      <c r="B20" s="629"/>
      <c r="C20" s="622" t="s">
        <v>28</v>
      </c>
      <c r="D20" s="623"/>
      <c r="E20" s="86">
        <f>'1 g'!$O$7</f>
        <v>0</v>
      </c>
      <c r="F20" s="87">
        <f>'1 g'!$O$7+'1 g'!$O$8</f>
        <v>0</v>
      </c>
      <c r="G20" s="85">
        <f>'1 g'!$O$15</f>
        <v>0</v>
      </c>
      <c r="H20" s="85">
        <f>'1 g'!$O$10</f>
        <v>0</v>
      </c>
      <c r="I20" s="85">
        <f>'1 g'!$O$11</f>
        <v>0</v>
      </c>
      <c r="J20" s="85">
        <f>'1 g'!$O$16</f>
        <v>0</v>
      </c>
    </row>
    <row r="21" spans="1:20" ht="18" customHeight="1" x14ac:dyDescent="0.3">
      <c r="A21" s="629"/>
      <c r="B21" s="629"/>
      <c r="C21" s="95" t="s">
        <v>378</v>
      </c>
      <c r="D21" s="570" t="s">
        <v>79</v>
      </c>
      <c r="E21" s="92">
        <f>'1 g'!$R$24</f>
        <v>200</v>
      </c>
      <c r="F21" s="93">
        <f>'1 g'!$R$24+'1 g'!$R$25</f>
        <v>200.00001599999999</v>
      </c>
      <c r="G21" s="96" t="s">
        <v>379</v>
      </c>
      <c r="H21" s="96" t="s">
        <v>380</v>
      </c>
      <c r="I21" s="96" t="s">
        <v>381</v>
      </c>
      <c r="J21" s="96" t="s">
        <v>382</v>
      </c>
    </row>
    <row r="22" spans="1:20" ht="20.25" customHeight="1" x14ac:dyDescent="0.3">
      <c r="A22" s="629"/>
      <c r="B22" s="629"/>
      <c r="C22" s="624" t="s">
        <v>363</v>
      </c>
      <c r="D22" s="625"/>
      <c r="E22" s="56">
        <v>20000</v>
      </c>
      <c r="F22" s="57" t="s">
        <v>32</v>
      </c>
      <c r="G22" s="539" t="s">
        <v>207</v>
      </c>
      <c r="H22" s="539" t="s">
        <v>91</v>
      </c>
      <c r="I22" s="627" t="s">
        <v>739</v>
      </c>
      <c r="J22" s="627"/>
    </row>
    <row r="23" spans="1:20" ht="15" customHeight="1" x14ac:dyDescent="0.3">
      <c r="A23" s="629"/>
      <c r="B23" s="629"/>
      <c r="C23" s="98" t="s">
        <v>364</v>
      </c>
      <c r="D23" s="89" t="s">
        <v>365</v>
      </c>
      <c r="E23" s="89" t="s">
        <v>366</v>
      </c>
      <c r="F23" s="89" t="s">
        <v>367</v>
      </c>
      <c r="G23" s="97" t="s">
        <v>384</v>
      </c>
      <c r="H23" s="97" t="s">
        <v>386</v>
      </c>
      <c r="I23" s="97" t="s">
        <v>383</v>
      </c>
      <c r="J23" s="97" t="s">
        <v>385</v>
      </c>
    </row>
    <row r="24" spans="1:20" ht="15" customHeight="1" x14ac:dyDescent="0.3">
      <c r="A24" s="629"/>
      <c r="B24" s="629"/>
      <c r="C24" s="99" t="s">
        <v>32</v>
      </c>
      <c r="D24" s="89" t="str">
        <f>C24</f>
        <v>g</v>
      </c>
      <c r="E24" s="89" t="str">
        <f>D24</f>
        <v>g</v>
      </c>
      <c r="F24" s="89" t="str">
        <f>E24</f>
        <v>g</v>
      </c>
      <c r="G24" s="61">
        <f>'1 g'!$C$8</f>
        <v>7800</v>
      </c>
      <c r="H24" s="61">
        <f>'1 g'!$C$17</f>
        <v>100</v>
      </c>
      <c r="I24" s="61">
        <f>'1 g'!$C$24</f>
        <v>0.1</v>
      </c>
      <c r="J24" s="61">
        <f>'1 g'!$C$29</f>
        <v>0.1</v>
      </c>
    </row>
    <row r="25" spans="1:20" x14ac:dyDescent="0.3">
      <c r="A25" s="629"/>
      <c r="B25" s="629"/>
      <c r="C25" s="100">
        <v>20000</v>
      </c>
      <c r="D25" s="100">
        <v>20000.099999999999</v>
      </c>
      <c r="E25" s="100">
        <v>20000.2</v>
      </c>
      <c r="F25" s="100">
        <v>20000.3</v>
      </c>
      <c r="G25" s="66" t="s">
        <v>368</v>
      </c>
      <c r="H25" s="67" t="s">
        <v>369</v>
      </c>
      <c r="I25" s="67" t="s">
        <v>373</v>
      </c>
      <c r="J25" s="102"/>
    </row>
    <row r="26" spans="1:20" ht="15" customHeight="1" x14ac:dyDescent="0.3">
      <c r="A26" s="629"/>
      <c r="B26" s="629"/>
      <c r="C26" s="100">
        <v>20000</v>
      </c>
      <c r="D26" s="100">
        <v>20000.099999999999</v>
      </c>
      <c r="E26" s="100">
        <v>20000.2</v>
      </c>
      <c r="F26" s="100">
        <v>20000.3</v>
      </c>
      <c r="G26" s="62" t="s">
        <v>370</v>
      </c>
      <c r="H26" s="52">
        <v>20.6</v>
      </c>
      <c r="I26" s="52">
        <v>20.399999999999999</v>
      </c>
      <c r="J26" s="69" t="s">
        <v>7</v>
      </c>
    </row>
    <row r="27" spans="1:20" ht="15" customHeight="1" x14ac:dyDescent="0.3">
      <c r="A27" s="629"/>
      <c r="B27" s="629"/>
      <c r="C27" s="100">
        <v>20000</v>
      </c>
      <c r="D27" s="100">
        <v>20000.099999999999</v>
      </c>
      <c r="E27" s="100">
        <v>20000.2</v>
      </c>
      <c r="F27" s="100">
        <v>20000.3</v>
      </c>
      <c r="G27" s="62" t="s">
        <v>371</v>
      </c>
      <c r="H27" s="52">
        <v>48.7</v>
      </c>
      <c r="I27" s="52">
        <v>48.6</v>
      </c>
      <c r="J27" s="70" t="s">
        <v>42</v>
      </c>
    </row>
    <row r="28" spans="1:20" x14ac:dyDescent="0.3">
      <c r="A28" s="629"/>
      <c r="B28" s="629"/>
      <c r="C28" s="100">
        <v>20000</v>
      </c>
      <c r="D28" s="100">
        <v>20000.099999999999</v>
      </c>
      <c r="E28" s="100">
        <v>20000.2</v>
      </c>
      <c r="F28" s="100">
        <v>20000.3</v>
      </c>
      <c r="G28" s="71" t="s">
        <v>372</v>
      </c>
      <c r="H28" s="52">
        <v>1001</v>
      </c>
      <c r="I28" s="52">
        <v>1001</v>
      </c>
      <c r="J28" s="72" t="s">
        <v>374</v>
      </c>
    </row>
    <row r="29" spans="1:20" x14ac:dyDescent="0.3">
      <c r="A29" s="55"/>
      <c r="B29" s="55"/>
      <c r="C29" s="55"/>
      <c r="D29" s="55"/>
      <c r="E29" s="55"/>
      <c r="F29" s="55"/>
      <c r="G29" s="55"/>
      <c r="H29" s="55"/>
      <c r="I29" s="55"/>
      <c r="J29" s="55"/>
    </row>
    <row r="30" spans="1:20" x14ac:dyDescent="0.3">
      <c r="A30" s="629">
        <v>2</v>
      </c>
      <c r="B30" s="629"/>
      <c r="C30" s="624" t="s">
        <v>360</v>
      </c>
      <c r="D30" s="626"/>
      <c r="E30" s="94" t="s">
        <v>376</v>
      </c>
      <c r="F30" s="94" t="s">
        <v>377</v>
      </c>
      <c r="G30" s="94" t="s">
        <v>16</v>
      </c>
      <c r="H30" s="94" t="s">
        <v>361</v>
      </c>
      <c r="I30" s="94" t="s">
        <v>362</v>
      </c>
      <c r="J30" s="94" t="s">
        <v>36</v>
      </c>
    </row>
    <row r="31" spans="1:20" ht="21.75" customHeight="1" x14ac:dyDescent="0.3">
      <c r="A31" s="629"/>
      <c r="B31" s="629"/>
      <c r="C31" s="622" t="s">
        <v>28</v>
      </c>
      <c r="D31" s="623"/>
      <c r="E31" s="83">
        <f>'2 g'!$I$7</f>
        <v>0</v>
      </c>
      <c r="F31" s="84">
        <f>'2 g'!$I$7+'2 g'!$I$8</f>
        <v>0</v>
      </c>
      <c r="G31" s="83">
        <f>'2 g'!$I$15</f>
        <v>0</v>
      </c>
      <c r="H31" s="85">
        <f>'2 g'!$I$10</f>
        <v>0</v>
      </c>
      <c r="I31" s="83">
        <f>'2 g'!$I$11</f>
        <v>0</v>
      </c>
      <c r="J31" s="85">
        <f>'2 g'!$I$16</f>
        <v>0</v>
      </c>
      <c r="L31" s="63" t="s">
        <v>353</v>
      </c>
      <c r="M31" s="618" t="s">
        <v>480</v>
      </c>
      <c r="N31" s="619"/>
    </row>
    <row r="32" spans="1:20" ht="17.25" customHeight="1" x14ac:dyDescent="0.3">
      <c r="A32" s="629"/>
      <c r="B32" s="629"/>
      <c r="C32" s="622" t="s">
        <v>28</v>
      </c>
      <c r="D32" s="623"/>
      <c r="E32" s="83">
        <f>'2 g'!$J$7</f>
        <v>0</v>
      </c>
      <c r="F32" s="84">
        <f>'2 g'!$J$7+'2 g'!$J$8</f>
        <v>0</v>
      </c>
      <c r="G32" s="83">
        <f>'2 g'!$J$15</f>
        <v>0</v>
      </c>
      <c r="H32" s="85">
        <f>'2 g'!$J$10</f>
        <v>0</v>
      </c>
      <c r="I32" s="83">
        <f>'2 g'!$J$11</f>
        <v>0</v>
      </c>
      <c r="J32" s="85">
        <f>'2 g'!$J$16</f>
        <v>0</v>
      </c>
      <c r="L32" s="63" t="s">
        <v>387</v>
      </c>
      <c r="M32" s="620">
        <v>24</v>
      </c>
      <c r="N32" s="620"/>
    </row>
    <row r="33" spans="1:14" ht="18.75" customHeight="1" x14ac:dyDescent="0.3">
      <c r="A33" s="629"/>
      <c r="B33" s="629"/>
      <c r="C33" s="622" t="s">
        <v>28</v>
      </c>
      <c r="D33" s="623"/>
      <c r="E33" s="83">
        <f>'2 g'!$K$7</f>
        <v>0</v>
      </c>
      <c r="F33" s="84">
        <f>'2 g'!$K$7+'2 g'!$K$8</f>
        <v>0</v>
      </c>
      <c r="G33" s="83">
        <f>'2 g'!$K$15</f>
        <v>0</v>
      </c>
      <c r="H33" s="85">
        <f>'2 g'!$K$10</f>
        <v>0</v>
      </c>
      <c r="I33" s="83">
        <f>'2 g'!$K$11</f>
        <v>0</v>
      </c>
      <c r="J33" s="85">
        <f>'2 g'!$K$16</f>
        <v>0</v>
      </c>
      <c r="L33" s="63" t="s">
        <v>388</v>
      </c>
      <c r="M33" s="621" t="s">
        <v>26</v>
      </c>
      <c r="N33" s="621"/>
    </row>
    <row r="34" spans="1:14" x14ac:dyDescent="0.3">
      <c r="A34" s="629"/>
      <c r="B34" s="629"/>
      <c r="C34" s="622" t="s">
        <v>28</v>
      </c>
      <c r="D34" s="623"/>
      <c r="E34" s="83">
        <f>'2 g'!$L$7</f>
        <v>0</v>
      </c>
      <c r="F34" s="84">
        <f>'2 g'!$L$7+'2 g'!$L$8</f>
        <v>0</v>
      </c>
      <c r="G34" s="83">
        <f>'2 g'!$L$15</f>
        <v>0</v>
      </c>
      <c r="H34" s="85">
        <f>'2 g'!$L$10</f>
        <v>0</v>
      </c>
      <c r="I34" s="83">
        <f>'2 g'!$L$11</f>
        <v>0</v>
      </c>
      <c r="J34" s="85">
        <f>'2 g'!$L$16</f>
        <v>0</v>
      </c>
    </row>
    <row r="35" spans="1:14" x14ac:dyDescent="0.3">
      <c r="A35" s="629"/>
      <c r="B35" s="629"/>
      <c r="C35" s="622" t="s">
        <v>28</v>
      </c>
      <c r="D35" s="623"/>
      <c r="E35" s="86">
        <f>'2 g'!$M$7</f>
        <v>0</v>
      </c>
      <c r="F35" s="87">
        <f>'2 g'!$M$7+'2 g'!$M$8</f>
        <v>0</v>
      </c>
      <c r="G35" s="85">
        <f>'2 g'!$M$15</f>
        <v>0</v>
      </c>
      <c r="H35" s="85">
        <f>'2 g'!$M$10</f>
        <v>0</v>
      </c>
      <c r="I35" s="83">
        <f>'2 g'!$M$11</f>
        <v>0</v>
      </c>
      <c r="J35" s="85">
        <f>'2 g'!$M$16</f>
        <v>0</v>
      </c>
    </row>
    <row r="36" spans="1:14" ht="23.25" customHeight="1" x14ac:dyDescent="0.3">
      <c r="A36" s="629"/>
      <c r="B36" s="629"/>
      <c r="C36" s="622" t="s">
        <v>28</v>
      </c>
      <c r="D36" s="623"/>
      <c r="E36" s="86">
        <f>'2 g'!$N$7</f>
        <v>0</v>
      </c>
      <c r="F36" s="87">
        <f>'2 g'!$N$7+'2 g'!$N$8</f>
        <v>0</v>
      </c>
      <c r="G36" s="85">
        <f>'2 g'!$N$15</f>
        <v>0</v>
      </c>
      <c r="H36" s="88">
        <f>'2 g'!$N$10</f>
        <v>0</v>
      </c>
      <c r="I36" s="83">
        <f>'2 g'!$N$11</f>
        <v>0</v>
      </c>
      <c r="J36" s="85">
        <f>'2 g'!$N$16</f>
        <v>0</v>
      </c>
    </row>
    <row r="37" spans="1:14" ht="21.75" customHeight="1" x14ac:dyDescent="0.3">
      <c r="A37" s="629"/>
      <c r="B37" s="629"/>
      <c r="C37" s="622" t="s">
        <v>28</v>
      </c>
      <c r="D37" s="623"/>
      <c r="E37" s="86">
        <f>'2 g'!$O$7</f>
        <v>0</v>
      </c>
      <c r="F37" s="87">
        <f>'2 g'!$O$7+'2 g'!$O$8</f>
        <v>0</v>
      </c>
      <c r="G37" s="85">
        <f>'2 g'!$O$15</f>
        <v>0</v>
      </c>
      <c r="H37" s="85">
        <f>'2 g'!$O$10</f>
        <v>0</v>
      </c>
      <c r="I37" s="85">
        <f>'2 g'!$O$11</f>
        <v>0</v>
      </c>
      <c r="J37" s="85">
        <f>'2 g'!$O$16</f>
        <v>0</v>
      </c>
    </row>
    <row r="38" spans="1:14" ht="24.75" customHeight="1" x14ac:dyDescent="0.3">
      <c r="A38" s="629"/>
      <c r="B38" s="629"/>
      <c r="C38" s="95" t="s">
        <v>378</v>
      </c>
      <c r="D38" s="570" t="s">
        <v>79</v>
      </c>
      <c r="E38" s="90">
        <f>'2 g'!$R$24</f>
        <v>200</v>
      </c>
      <c r="F38" s="91">
        <f>'2 g'!$R$24+'2 g'!$R$25</f>
        <v>200.00001599999999</v>
      </c>
      <c r="G38" s="101" t="s">
        <v>379</v>
      </c>
      <c r="H38" s="101" t="s">
        <v>380</v>
      </c>
      <c r="I38" s="101" t="s">
        <v>381</v>
      </c>
      <c r="J38" s="101" t="s">
        <v>382</v>
      </c>
    </row>
    <row r="39" spans="1:14" ht="19.5" customHeight="1" x14ac:dyDescent="0.3">
      <c r="A39" s="629"/>
      <c r="B39" s="629"/>
      <c r="C39" s="624" t="s">
        <v>363</v>
      </c>
      <c r="D39" s="625"/>
      <c r="E39" s="103">
        <v>0</v>
      </c>
      <c r="F39" s="57" t="s">
        <v>32</v>
      </c>
      <c r="G39" s="539" t="s">
        <v>205</v>
      </c>
      <c r="H39" s="539" t="s">
        <v>91</v>
      </c>
      <c r="I39" s="627" t="s">
        <v>739</v>
      </c>
      <c r="J39" s="627"/>
    </row>
    <row r="40" spans="1:14" ht="15.75" customHeight="1" x14ac:dyDescent="0.3">
      <c r="A40" s="629"/>
      <c r="B40" s="629"/>
      <c r="C40" s="98" t="s">
        <v>364</v>
      </c>
      <c r="D40" s="89" t="s">
        <v>365</v>
      </c>
      <c r="E40" s="89" t="s">
        <v>366</v>
      </c>
      <c r="F40" s="89" t="s">
        <v>367</v>
      </c>
      <c r="G40" s="97" t="s">
        <v>384</v>
      </c>
      <c r="H40" s="97" t="s">
        <v>386</v>
      </c>
      <c r="I40" s="97" t="s">
        <v>383</v>
      </c>
      <c r="J40" s="97" t="s">
        <v>385</v>
      </c>
    </row>
    <row r="41" spans="1:14" x14ac:dyDescent="0.3">
      <c r="A41" s="629"/>
      <c r="B41" s="629"/>
      <c r="C41" s="99" t="s">
        <v>32</v>
      </c>
      <c r="D41" s="89" t="str">
        <f>C41</f>
        <v>g</v>
      </c>
      <c r="E41" s="89" t="str">
        <f>D41</f>
        <v>g</v>
      </c>
      <c r="F41" s="89" t="str">
        <f>E41</f>
        <v>g</v>
      </c>
      <c r="G41" s="61">
        <f>'2 g'!$C$8</f>
        <v>7700</v>
      </c>
      <c r="H41" s="61">
        <f>'2 g'!$C$17</f>
        <v>100</v>
      </c>
      <c r="I41" s="61">
        <f>'2 g'!$C$24</f>
        <v>0.1</v>
      </c>
      <c r="J41" s="61">
        <f>'2 g'!$C$29</f>
        <v>0.1</v>
      </c>
    </row>
    <row r="42" spans="1:14" x14ac:dyDescent="0.3">
      <c r="A42" s="629"/>
      <c r="B42" s="629"/>
      <c r="C42" s="107"/>
      <c r="D42" s="107"/>
      <c r="E42" s="108"/>
      <c r="F42" s="108"/>
      <c r="G42" s="66" t="s">
        <v>368</v>
      </c>
      <c r="H42" s="67" t="s">
        <v>369</v>
      </c>
      <c r="I42" s="67" t="s">
        <v>373</v>
      </c>
      <c r="J42" s="102"/>
    </row>
    <row r="43" spans="1:14" x14ac:dyDescent="0.3">
      <c r="A43" s="629"/>
      <c r="B43" s="629"/>
      <c r="C43" s="107"/>
      <c r="D43" s="107"/>
      <c r="E43" s="108"/>
      <c r="F43" s="108"/>
      <c r="G43" s="62" t="s">
        <v>370</v>
      </c>
      <c r="H43" s="52">
        <v>20.2</v>
      </c>
      <c r="I43" s="52">
        <v>21.3</v>
      </c>
      <c r="J43" s="69" t="s">
        <v>7</v>
      </c>
    </row>
    <row r="44" spans="1:14" x14ac:dyDescent="0.3">
      <c r="A44" s="629"/>
      <c r="B44" s="629"/>
      <c r="C44" s="107"/>
      <c r="D44" s="107"/>
      <c r="E44" s="108"/>
      <c r="F44" s="108"/>
      <c r="G44" s="62" t="s">
        <v>371</v>
      </c>
      <c r="H44" s="52">
        <v>59.1</v>
      </c>
      <c r="I44" s="54">
        <v>56.8</v>
      </c>
      <c r="J44" s="70" t="s">
        <v>42</v>
      </c>
    </row>
    <row r="45" spans="1:14" x14ac:dyDescent="0.3">
      <c r="A45" s="629"/>
      <c r="B45" s="629"/>
      <c r="C45" s="107"/>
      <c r="D45" s="107"/>
      <c r="E45" s="108"/>
      <c r="F45" s="108"/>
      <c r="G45" s="71" t="s">
        <v>372</v>
      </c>
      <c r="H45" s="52">
        <v>1001</v>
      </c>
      <c r="I45" s="52">
        <v>1001</v>
      </c>
      <c r="J45" s="72" t="s">
        <v>374</v>
      </c>
    </row>
    <row r="46" spans="1:14" x14ac:dyDescent="0.3">
      <c r="A46" s="55"/>
      <c r="B46" s="55"/>
      <c r="C46" s="55"/>
      <c r="D46" s="55"/>
      <c r="E46" s="55"/>
      <c r="F46" s="55"/>
      <c r="G46" s="55"/>
      <c r="H46" s="55"/>
      <c r="I46" s="55"/>
      <c r="J46" s="55"/>
    </row>
    <row r="47" spans="1:14" ht="17.25" customHeight="1" x14ac:dyDescent="0.3">
      <c r="A47" s="629">
        <v>3</v>
      </c>
      <c r="B47" s="629"/>
      <c r="C47" s="624" t="s">
        <v>360</v>
      </c>
      <c r="D47" s="626"/>
      <c r="E47" s="94" t="s">
        <v>376</v>
      </c>
      <c r="F47" s="94" t="s">
        <v>377</v>
      </c>
      <c r="G47" s="94" t="s">
        <v>16</v>
      </c>
      <c r="H47" s="94" t="s">
        <v>361</v>
      </c>
      <c r="I47" s="94" t="s">
        <v>362</v>
      </c>
      <c r="J47" s="94" t="s">
        <v>36</v>
      </c>
    </row>
    <row r="48" spans="1:14" ht="20.25" customHeight="1" x14ac:dyDescent="0.3">
      <c r="A48" s="629"/>
      <c r="B48" s="629"/>
      <c r="C48" s="622" t="s">
        <v>28</v>
      </c>
      <c r="D48" s="623"/>
      <c r="E48" s="83">
        <f>'2 g.'!$I$7</f>
        <v>0</v>
      </c>
      <c r="F48" s="104">
        <f>'2 g.'!$I$7+'2 g.'!$I$8</f>
        <v>0</v>
      </c>
      <c r="G48" s="83">
        <f>'2 g.'!$I$15</f>
        <v>0</v>
      </c>
      <c r="H48" s="85">
        <f>'2 g.'!$I$10</f>
        <v>0</v>
      </c>
      <c r="I48" s="83">
        <f>'2 g.'!$I$11</f>
        <v>0</v>
      </c>
      <c r="J48" s="85">
        <f>'2 g.'!$I$16</f>
        <v>0</v>
      </c>
      <c r="L48" s="63" t="s">
        <v>353</v>
      </c>
      <c r="M48" s="618" t="s">
        <v>480</v>
      </c>
      <c r="N48" s="619"/>
    </row>
    <row r="49" spans="1:14" ht="19.5" customHeight="1" x14ac:dyDescent="0.3">
      <c r="A49" s="629"/>
      <c r="B49" s="629"/>
      <c r="C49" s="622" t="s">
        <v>28</v>
      </c>
      <c r="D49" s="623"/>
      <c r="E49" s="83">
        <f>'2 g.'!$J$7</f>
        <v>0</v>
      </c>
      <c r="F49" s="104">
        <f>'2 g.'!$J$7+'2 g.'!$J$8</f>
        <v>0</v>
      </c>
      <c r="G49" s="83">
        <f>'2 g.'!$J$15</f>
        <v>0</v>
      </c>
      <c r="H49" s="85">
        <f>'2 g.'!$J$10</f>
        <v>0</v>
      </c>
      <c r="I49" s="83">
        <f>'2 g.'!$J$11</f>
        <v>0</v>
      </c>
      <c r="J49" s="85">
        <f>'2 g.'!$J$16</f>
        <v>0</v>
      </c>
      <c r="L49" s="63" t="s">
        <v>387</v>
      </c>
      <c r="M49" s="620" t="s">
        <v>355</v>
      </c>
      <c r="N49" s="620"/>
    </row>
    <row r="50" spans="1:14" ht="17.25" customHeight="1" x14ac:dyDescent="0.3">
      <c r="A50" s="629"/>
      <c r="B50" s="629"/>
      <c r="C50" s="622" t="s">
        <v>28</v>
      </c>
      <c r="D50" s="623"/>
      <c r="E50" s="83">
        <f>'2 g.'!$K$7</f>
        <v>0</v>
      </c>
      <c r="F50" s="104">
        <f>'2 g.'!$K$7+'2 g.'!$K$8</f>
        <v>0</v>
      </c>
      <c r="G50" s="83">
        <f>'2 g.'!$K$15</f>
        <v>0</v>
      </c>
      <c r="H50" s="85">
        <f>'2 g.'!$K$10</f>
        <v>0</v>
      </c>
      <c r="I50" s="83">
        <f>'2 g.'!$K$11</f>
        <v>0</v>
      </c>
      <c r="J50" s="85">
        <f>'2 g.'!$K$16</f>
        <v>0</v>
      </c>
      <c r="L50" s="63" t="s">
        <v>388</v>
      </c>
      <c r="M50" s="621" t="s">
        <v>26</v>
      </c>
      <c r="N50" s="621"/>
    </row>
    <row r="51" spans="1:14" ht="19.5" customHeight="1" x14ac:dyDescent="0.3">
      <c r="A51" s="629"/>
      <c r="B51" s="629"/>
      <c r="C51" s="622" t="s">
        <v>28</v>
      </c>
      <c r="D51" s="623"/>
      <c r="E51" s="83">
        <f>'2 g.'!$L$7</f>
        <v>0</v>
      </c>
      <c r="F51" s="104">
        <f>'2 g.'!$L$7+'2 g.'!$L$8</f>
        <v>0</v>
      </c>
      <c r="G51" s="83">
        <f>'2 g.'!$L$15</f>
        <v>0</v>
      </c>
      <c r="H51" s="85">
        <f>'2 g.'!$L$10</f>
        <v>0</v>
      </c>
      <c r="I51" s="83">
        <f>'2 g.'!$L$11</f>
        <v>0</v>
      </c>
      <c r="J51" s="85">
        <f>'2 g.'!$L$16</f>
        <v>0</v>
      </c>
    </row>
    <row r="52" spans="1:14" ht="21" customHeight="1" x14ac:dyDescent="0.3">
      <c r="A52" s="629"/>
      <c r="B52" s="629"/>
      <c r="C52" s="622" t="s">
        <v>28</v>
      </c>
      <c r="D52" s="623"/>
      <c r="E52" s="86">
        <f>'2 g.'!$M$7</f>
        <v>0</v>
      </c>
      <c r="F52" s="105">
        <f>'2 g.'!$M$7+'2 g.'!$M$8</f>
        <v>0</v>
      </c>
      <c r="G52" s="85">
        <f>'2 g.'!$M$15</f>
        <v>0</v>
      </c>
      <c r="H52" s="85">
        <f>'2 g.'!$M$10</f>
        <v>0</v>
      </c>
      <c r="I52" s="83">
        <f>'2 g.'!$M$11</f>
        <v>0</v>
      </c>
      <c r="J52" s="85">
        <f>'2 g.'!$M$16</f>
        <v>0</v>
      </c>
    </row>
    <row r="53" spans="1:14" ht="23.25" customHeight="1" x14ac:dyDescent="0.3">
      <c r="A53" s="629"/>
      <c r="B53" s="629"/>
      <c r="C53" s="622" t="s">
        <v>28</v>
      </c>
      <c r="D53" s="623"/>
      <c r="E53" s="86">
        <f>'2 g.'!$N$7</f>
        <v>0</v>
      </c>
      <c r="F53" s="105">
        <f>'2 g.'!$N$7+'2 g.'!$N$8</f>
        <v>0</v>
      </c>
      <c r="G53" s="85">
        <f>'2 g.'!$N$15</f>
        <v>0</v>
      </c>
      <c r="H53" s="88">
        <f>'2 g.'!$N$10</f>
        <v>0</v>
      </c>
      <c r="I53" s="83">
        <f>'2 g.'!$N$11</f>
        <v>0</v>
      </c>
      <c r="J53" s="85">
        <f>'2 g.'!$N$16</f>
        <v>0</v>
      </c>
    </row>
    <row r="54" spans="1:14" ht="21" customHeight="1" x14ac:dyDescent="0.3">
      <c r="A54" s="629"/>
      <c r="B54" s="629"/>
      <c r="C54" s="622" t="s">
        <v>28</v>
      </c>
      <c r="D54" s="623"/>
      <c r="E54" s="86">
        <f>'2 g.'!$O$7</f>
        <v>0</v>
      </c>
      <c r="F54" s="105">
        <f>'2 g.'!$O$7+'2 g.'!$O$8</f>
        <v>0</v>
      </c>
      <c r="G54" s="85">
        <f>'2 g.'!$O$15</f>
        <v>0</v>
      </c>
      <c r="H54" s="85">
        <f>'2 g.'!$O$10</f>
        <v>0</v>
      </c>
      <c r="I54" s="85">
        <f>'2 g.'!$O$11</f>
        <v>0</v>
      </c>
      <c r="J54" s="85">
        <f>'2 g.'!$O$16</f>
        <v>0</v>
      </c>
    </row>
    <row r="55" spans="1:14" ht="22.5" customHeight="1" x14ac:dyDescent="0.3">
      <c r="A55" s="629"/>
      <c r="B55" s="629"/>
      <c r="C55" s="95" t="s">
        <v>378</v>
      </c>
      <c r="D55" s="570" t="s">
        <v>79</v>
      </c>
      <c r="E55" s="90">
        <f>'2 g.'!$R$24</f>
        <v>200</v>
      </c>
      <c r="F55" s="106">
        <f>'2 g.'!$R$24+'2 g.'!$R$25</f>
        <v>200.00001599999999</v>
      </c>
      <c r="G55" s="101" t="s">
        <v>379</v>
      </c>
      <c r="H55" s="101" t="s">
        <v>380</v>
      </c>
      <c r="I55" s="101" t="s">
        <v>381</v>
      </c>
      <c r="J55" s="101" t="s">
        <v>382</v>
      </c>
    </row>
    <row r="56" spans="1:14" ht="24" customHeight="1" x14ac:dyDescent="0.3">
      <c r="A56" s="629"/>
      <c r="B56" s="629"/>
      <c r="C56" s="624" t="s">
        <v>363</v>
      </c>
      <c r="D56" s="625"/>
      <c r="E56" s="64">
        <v>0</v>
      </c>
      <c r="F56" s="65" t="s">
        <v>32</v>
      </c>
      <c r="G56" s="539" t="s">
        <v>205</v>
      </c>
      <c r="H56" s="539" t="s">
        <v>91</v>
      </c>
      <c r="I56" s="627" t="s">
        <v>739</v>
      </c>
      <c r="J56" s="627"/>
    </row>
    <row r="57" spans="1:14" ht="15" x14ac:dyDescent="0.3">
      <c r="A57" s="629"/>
      <c r="B57" s="629"/>
      <c r="C57" s="98" t="s">
        <v>364</v>
      </c>
      <c r="D57" s="89" t="s">
        <v>365</v>
      </c>
      <c r="E57" s="89" t="s">
        <v>366</v>
      </c>
      <c r="F57" s="89" t="s">
        <v>367</v>
      </c>
      <c r="G57" s="97" t="s">
        <v>384</v>
      </c>
      <c r="H57" s="97" t="s">
        <v>386</v>
      </c>
      <c r="I57" s="97" t="s">
        <v>383</v>
      </c>
      <c r="J57" s="97" t="s">
        <v>385</v>
      </c>
    </row>
    <row r="58" spans="1:14" x14ac:dyDescent="0.3">
      <c r="A58" s="629"/>
      <c r="B58" s="629"/>
      <c r="C58" s="89" t="s">
        <v>32</v>
      </c>
      <c r="D58" s="89" t="str">
        <f>C58</f>
        <v>g</v>
      </c>
      <c r="E58" s="89" t="str">
        <f>D58</f>
        <v>g</v>
      </c>
      <c r="F58" s="89" t="str">
        <f>E58</f>
        <v>g</v>
      </c>
      <c r="G58" s="61">
        <f>'2 g.'!$C$8</f>
        <v>7700</v>
      </c>
      <c r="H58" s="61">
        <f>'2 g.'!$C$17</f>
        <v>100</v>
      </c>
      <c r="I58" s="61">
        <f>'2 g.'!$C$24</f>
        <v>0.1</v>
      </c>
      <c r="J58" s="61">
        <f>'2 g.'!$C$29</f>
        <v>0.1</v>
      </c>
    </row>
    <row r="59" spans="1:14" x14ac:dyDescent="0.3">
      <c r="A59" s="629"/>
      <c r="B59" s="629"/>
      <c r="C59" s="109"/>
      <c r="D59" s="109"/>
      <c r="E59" s="110"/>
      <c r="F59" s="110"/>
      <c r="G59" s="66" t="s">
        <v>368</v>
      </c>
      <c r="H59" s="67" t="s">
        <v>369</v>
      </c>
      <c r="I59" s="67" t="s">
        <v>373</v>
      </c>
      <c r="J59" s="102"/>
    </row>
    <row r="60" spans="1:14" x14ac:dyDescent="0.3">
      <c r="A60" s="629"/>
      <c r="B60" s="629"/>
      <c r="C60" s="109"/>
      <c r="D60" s="109"/>
      <c r="E60" s="110"/>
      <c r="F60" s="110"/>
      <c r="G60" s="62" t="s">
        <v>370</v>
      </c>
      <c r="H60" s="68">
        <v>20.3</v>
      </c>
      <c r="I60" s="68">
        <v>20.6</v>
      </c>
      <c r="J60" s="69" t="s">
        <v>7</v>
      </c>
    </row>
    <row r="61" spans="1:14" x14ac:dyDescent="0.3">
      <c r="A61" s="629"/>
      <c r="B61" s="629"/>
      <c r="C61" s="109"/>
      <c r="D61" s="109"/>
      <c r="E61" s="110"/>
      <c r="F61" s="110"/>
      <c r="G61" s="62" t="s">
        <v>371</v>
      </c>
      <c r="H61" s="68">
        <v>54.8</v>
      </c>
      <c r="I61" s="76">
        <v>54</v>
      </c>
      <c r="J61" s="70" t="s">
        <v>42</v>
      </c>
    </row>
    <row r="62" spans="1:14" x14ac:dyDescent="0.3">
      <c r="A62" s="629"/>
      <c r="B62" s="629"/>
      <c r="C62" s="109"/>
      <c r="D62" s="109"/>
      <c r="E62" s="110"/>
      <c r="F62" s="110"/>
      <c r="G62" s="71" t="s">
        <v>372</v>
      </c>
      <c r="H62" s="68">
        <v>1001</v>
      </c>
      <c r="I62" s="68">
        <v>1001</v>
      </c>
      <c r="J62" s="72" t="s">
        <v>374</v>
      </c>
    </row>
    <row r="63" spans="1:14" x14ac:dyDescent="0.3">
      <c r="A63" s="55"/>
      <c r="B63" s="55"/>
      <c r="C63" s="55"/>
      <c r="D63" s="55"/>
      <c r="E63" s="55"/>
      <c r="F63" s="55"/>
      <c r="G63" s="55"/>
      <c r="H63" s="55"/>
      <c r="I63" s="55"/>
      <c r="J63" s="55"/>
    </row>
    <row r="64" spans="1:14" x14ac:dyDescent="0.3">
      <c r="A64" s="629">
        <v>4</v>
      </c>
      <c r="B64" s="629"/>
      <c r="C64" s="624" t="s">
        <v>360</v>
      </c>
      <c r="D64" s="626"/>
      <c r="E64" s="94" t="s">
        <v>376</v>
      </c>
      <c r="F64" s="94" t="s">
        <v>377</v>
      </c>
      <c r="G64" s="94" t="s">
        <v>16</v>
      </c>
      <c r="H64" s="94" t="s">
        <v>361</v>
      </c>
      <c r="I64" s="94" t="s">
        <v>362</v>
      </c>
      <c r="J64" s="94" t="s">
        <v>36</v>
      </c>
    </row>
    <row r="65" spans="1:14" ht="22.5" customHeight="1" x14ac:dyDescent="0.3">
      <c r="A65" s="629"/>
      <c r="B65" s="629"/>
      <c r="C65" s="622" t="s">
        <v>28</v>
      </c>
      <c r="D65" s="623"/>
      <c r="E65" s="83">
        <f>'5 g'!$I$7</f>
        <v>0</v>
      </c>
      <c r="F65" s="104">
        <f>'5 g'!$I$7+'5 g'!$I$8</f>
        <v>0</v>
      </c>
      <c r="G65" s="83">
        <f>'5 g'!$I$15</f>
        <v>0</v>
      </c>
      <c r="H65" s="85">
        <f>'5 g'!$I$10</f>
        <v>0</v>
      </c>
      <c r="I65" s="83">
        <f>'5 g'!$I$11</f>
        <v>0</v>
      </c>
      <c r="J65" s="85">
        <f>'5 g'!$I$16</f>
        <v>0</v>
      </c>
      <c r="L65" s="63" t="s">
        <v>353</v>
      </c>
      <c r="M65" s="618" t="s">
        <v>480</v>
      </c>
      <c r="N65" s="619"/>
    </row>
    <row r="66" spans="1:14" ht="16.5" customHeight="1" x14ac:dyDescent="0.3">
      <c r="A66" s="629"/>
      <c r="B66" s="629"/>
      <c r="C66" s="622" t="s">
        <v>28</v>
      </c>
      <c r="D66" s="623"/>
      <c r="E66" s="83">
        <f>'5 g'!$J$7</f>
        <v>0</v>
      </c>
      <c r="F66" s="104">
        <f>'5 g'!$J$7+'5 g'!$J$8</f>
        <v>0</v>
      </c>
      <c r="G66" s="83">
        <f>'5 g'!$J$15</f>
        <v>0</v>
      </c>
      <c r="H66" s="85">
        <f>'5 g'!$J$10</f>
        <v>0</v>
      </c>
      <c r="I66" s="83">
        <f>'5 g'!$J$11</f>
        <v>0</v>
      </c>
      <c r="J66" s="85">
        <f>'5 g'!$J$16</f>
        <v>0</v>
      </c>
      <c r="L66" s="63" t="s">
        <v>387</v>
      </c>
      <c r="M66" s="620" t="s">
        <v>355</v>
      </c>
      <c r="N66" s="620"/>
    </row>
    <row r="67" spans="1:14" ht="21.75" customHeight="1" x14ac:dyDescent="0.3">
      <c r="A67" s="629"/>
      <c r="B67" s="629"/>
      <c r="C67" s="622" t="s">
        <v>28</v>
      </c>
      <c r="D67" s="623"/>
      <c r="E67" s="83">
        <f>'5 g'!$K$7</f>
        <v>0</v>
      </c>
      <c r="F67" s="104">
        <f>'5 g'!$K$7+'5 g'!$K$8</f>
        <v>0</v>
      </c>
      <c r="G67" s="83">
        <f>'5 g'!$K$15</f>
        <v>0</v>
      </c>
      <c r="H67" s="85">
        <f>'5 g'!$K$10</f>
        <v>0</v>
      </c>
      <c r="I67" s="83">
        <f>'5 g'!$K$11</f>
        <v>0</v>
      </c>
      <c r="J67" s="85">
        <f>'5 g'!$K$16</f>
        <v>0</v>
      </c>
      <c r="L67" s="63" t="s">
        <v>388</v>
      </c>
      <c r="M67" s="621" t="s">
        <v>26</v>
      </c>
      <c r="N67" s="621"/>
    </row>
    <row r="68" spans="1:14" ht="18" customHeight="1" x14ac:dyDescent="0.3">
      <c r="A68" s="629"/>
      <c r="B68" s="629"/>
      <c r="C68" s="622" t="s">
        <v>28</v>
      </c>
      <c r="D68" s="623"/>
      <c r="E68" s="83">
        <f>'5 g'!$L$7</f>
        <v>0</v>
      </c>
      <c r="F68" s="104">
        <f>'5 g'!$L$7+'5 g'!$L$8</f>
        <v>0</v>
      </c>
      <c r="G68" s="83">
        <f>'5 g'!$L$15</f>
        <v>0</v>
      </c>
      <c r="H68" s="85">
        <f>'5 g'!$L$10</f>
        <v>0</v>
      </c>
      <c r="I68" s="83">
        <f>'5 g'!$L$11</f>
        <v>0</v>
      </c>
      <c r="J68" s="85">
        <f>'5 g'!$L$16</f>
        <v>0</v>
      </c>
    </row>
    <row r="69" spans="1:14" ht="18.75" customHeight="1" x14ac:dyDescent="0.3">
      <c r="A69" s="629"/>
      <c r="B69" s="629"/>
      <c r="C69" s="622" t="s">
        <v>28</v>
      </c>
      <c r="D69" s="623"/>
      <c r="E69" s="86">
        <f>'5 g'!$M$7</f>
        <v>0</v>
      </c>
      <c r="F69" s="105">
        <f>'5 g'!$M$7+'5 g'!$M$8</f>
        <v>0</v>
      </c>
      <c r="G69" s="85">
        <f>'5 g'!$M$15</f>
        <v>0</v>
      </c>
      <c r="H69" s="85">
        <f>'5 g'!$M$10</f>
        <v>0</v>
      </c>
      <c r="I69" s="83">
        <f>'5 g'!$M$11</f>
        <v>0</v>
      </c>
      <c r="J69" s="85">
        <f>'5 g'!$M$16</f>
        <v>0</v>
      </c>
    </row>
    <row r="70" spans="1:14" ht="25.5" customHeight="1" x14ac:dyDescent="0.3">
      <c r="A70" s="629"/>
      <c r="B70" s="629"/>
      <c r="C70" s="622" t="s">
        <v>28</v>
      </c>
      <c r="D70" s="623"/>
      <c r="E70" s="86">
        <f>'5 g'!$N$7</f>
        <v>0</v>
      </c>
      <c r="F70" s="105">
        <f>'5 g'!$N$7+'5 g'!$N$8</f>
        <v>0</v>
      </c>
      <c r="G70" s="85">
        <f>'5 g'!$N$15</f>
        <v>0</v>
      </c>
      <c r="H70" s="88">
        <f>'5 g'!$N$10</f>
        <v>0</v>
      </c>
      <c r="I70" s="83">
        <f>'5 g'!$N$11</f>
        <v>0</v>
      </c>
      <c r="J70" s="85">
        <f>'5 g'!$N$16</f>
        <v>0</v>
      </c>
    </row>
    <row r="71" spans="1:14" ht="21" customHeight="1" x14ac:dyDescent="0.3">
      <c r="A71" s="629"/>
      <c r="B71" s="629"/>
      <c r="C71" s="622" t="s">
        <v>28</v>
      </c>
      <c r="D71" s="623"/>
      <c r="E71" s="86">
        <f>'5 g'!$O$7</f>
        <v>0</v>
      </c>
      <c r="F71" s="105">
        <f>'5 g'!$O$7+'5 g'!$O$8</f>
        <v>0</v>
      </c>
      <c r="G71" s="85">
        <f>'5 g'!$O$15</f>
        <v>0</v>
      </c>
      <c r="H71" s="85">
        <f>'5 g'!$O$10</f>
        <v>0</v>
      </c>
      <c r="I71" s="85">
        <f>'5 g'!$O$11</f>
        <v>0</v>
      </c>
      <c r="J71" s="85">
        <f>'5 g'!$O$16</f>
        <v>0</v>
      </c>
    </row>
    <row r="72" spans="1:14" ht="25.5" customHeight="1" x14ac:dyDescent="0.3">
      <c r="A72" s="629"/>
      <c r="B72" s="629"/>
      <c r="C72" s="95" t="s">
        <v>378</v>
      </c>
      <c r="D72" s="570" t="s">
        <v>79</v>
      </c>
      <c r="E72" s="90">
        <f>'5 g'!$R$24</f>
        <v>200</v>
      </c>
      <c r="F72" s="106">
        <f>'5 g'!$R$24+'5 g'!$R$25</f>
        <v>200.00001599999999</v>
      </c>
      <c r="G72" s="101" t="s">
        <v>379</v>
      </c>
      <c r="H72" s="101" t="s">
        <v>380</v>
      </c>
      <c r="I72" s="101" t="s">
        <v>381</v>
      </c>
      <c r="J72" s="101" t="s">
        <v>382</v>
      </c>
    </row>
    <row r="73" spans="1:14" ht="21.75" customHeight="1" x14ac:dyDescent="0.3">
      <c r="A73" s="629"/>
      <c r="B73" s="629"/>
      <c r="C73" s="624" t="s">
        <v>363</v>
      </c>
      <c r="D73" s="625"/>
      <c r="E73" s="56">
        <v>0</v>
      </c>
      <c r="F73" s="57" t="s">
        <v>32</v>
      </c>
      <c r="G73" s="539" t="s">
        <v>205</v>
      </c>
      <c r="H73" s="539" t="s">
        <v>91</v>
      </c>
      <c r="I73" s="627" t="s">
        <v>739</v>
      </c>
      <c r="J73" s="627"/>
    </row>
    <row r="74" spans="1:14" ht="15" x14ac:dyDescent="0.3">
      <c r="A74" s="629"/>
      <c r="B74" s="629"/>
      <c r="C74" s="98" t="s">
        <v>364</v>
      </c>
      <c r="D74" s="89" t="s">
        <v>365</v>
      </c>
      <c r="E74" s="89" t="s">
        <v>366</v>
      </c>
      <c r="F74" s="89" t="s">
        <v>367</v>
      </c>
      <c r="G74" s="97" t="s">
        <v>384</v>
      </c>
      <c r="H74" s="97" t="s">
        <v>386</v>
      </c>
      <c r="I74" s="97" t="s">
        <v>383</v>
      </c>
      <c r="J74" s="97" t="s">
        <v>385</v>
      </c>
    </row>
    <row r="75" spans="1:14" x14ac:dyDescent="0.3">
      <c r="A75" s="629"/>
      <c r="B75" s="629"/>
      <c r="C75" s="99" t="s">
        <v>32</v>
      </c>
      <c r="D75" s="89" t="str">
        <f>C75</f>
        <v>g</v>
      </c>
      <c r="E75" s="89" t="str">
        <f>D75</f>
        <v>g</v>
      </c>
      <c r="F75" s="89" t="str">
        <f>E75</f>
        <v>g</v>
      </c>
      <c r="G75" s="61">
        <f>'5 g'!$C$8</f>
        <v>7700</v>
      </c>
      <c r="H75" s="61">
        <f>'5 g'!$C$17</f>
        <v>100</v>
      </c>
      <c r="I75" s="61">
        <f>'5 g'!$C$24</f>
        <v>0.1</v>
      </c>
      <c r="J75" s="61">
        <f>'5 g'!$C$29</f>
        <v>0.1</v>
      </c>
    </row>
    <row r="76" spans="1:14" x14ac:dyDescent="0.3">
      <c r="A76" s="629"/>
      <c r="B76" s="629"/>
      <c r="C76" s="109"/>
      <c r="D76" s="109"/>
      <c r="E76" s="110"/>
      <c r="F76" s="110"/>
      <c r="G76" s="66" t="s">
        <v>368</v>
      </c>
      <c r="H76" s="67" t="s">
        <v>369</v>
      </c>
      <c r="I76" s="67" t="s">
        <v>373</v>
      </c>
      <c r="J76" s="102"/>
    </row>
    <row r="77" spans="1:14" x14ac:dyDescent="0.3">
      <c r="A77" s="629"/>
      <c r="B77" s="629"/>
      <c r="C77" s="109"/>
      <c r="D77" s="109"/>
      <c r="E77" s="110"/>
      <c r="F77" s="110"/>
      <c r="G77" s="62" t="s">
        <v>370</v>
      </c>
      <c r="H77" s="52">
        <v>20.3</v>
      </c>
      <c r="I77" s="52">
        <v>20.100000000000001</v>
      </c>
      <c r="J77" s="69" t="s">
        <v>7</v>
      </c>
    </row>
    <row r="78" spans="1:14" x14ac:dyDescent="0.3">
      <c r="A78" s="629"/>
      <c r="B78" s="629"/>
      <c r="C78" s="109"/>
      <c r="D78" s="109"/>
      <c r="E78" s="110"/>
      <c r="F78" s="110"/>
      <c r="G78" s="62" t="s">
        <v>371</v>
      </c>
      <c r="H78" s="52">
        <v>42.7</v>
      </c>
      <c r="I78" s="54">
        <v>42</v>
      </c>
      <c r="J78" s="70" t="s">
        <v>42</v>
      </c>
    </row>
    <row r="79" spans="1:14" x14ac:dyDescent="0.3">
      <c r="A79" s="629"/>
      <c r="B79" s="629"/>
      <c r="C79" s="109"/>
      <c r="D79" s="109"/>
      <c r="E79" s="110"/>
      <c r="F79" s="110"/>
      <c r="G79" s="71" t="s">
        <v>372</v>
      </c>
      <c r="H79" s="52">
        <v>1001</v>
      </c>
      <c r="I79" s="52">
        <v>1001</v>
      </c>
      <c r="J79" s="72" t="s">
        <v>374</v>
      </c>
    </row>
    <row r="80" spans="1:14" x14ac:dyDescent="0.3">
      <c r="A80" s="55"/>
      <c r="B80" s="55"/>
      <c r="C80" s="55"/>
      <c r="D80" s="55"/>
      <c r="E80" s="55"/>
      <c r="F80" s="55"/>
      <c r="G80" s="55"/>
      <c r="H80" s="55"/>
      <c r="I80" s="55"/>
      <c r="J80" s="55"/>
    </row>
    <row r="81" spans="1:14" x14ac:dyDescent="0.3">
      <c r="A81" s="629">
        <v>5</v>
      </c>
      <c r="B81" s="629"/>
      <c r="C81" s="624" t="s">
        <v>360</v>
      </c>
      <c r="D81" s="626"/>
      <c r="E81" s="94" t="s">
        <v>376</v>
      </c>
      <c r="F81" s="94" t="s">
        <v>377</v>
      </c>
      <c r="G81" s="94" t="s">
        <v>16</v>
      </c>
      <c r="H81" s="94" t="s">
        <v>361</v>
      </c>
      <c r="I81" s="94" t="s">
        <v>362</v>
      </c>
      <c r="J81" s="94" t="s">
        <v>36</v>
      </c>
    </row>
    <row r="82" spans="1:14" ht="21" customHeight="1" x14ac:dyDescent="0.3">
      <c r="A82" s="629"/>
      <c r="B82" s="629"/>
      <c r="C82" s="622" t="s">
        <v>28</v>
      </c>
      <c r="D82" s="623"/>
      <c r="E82" s="83">
        <f>'10 g'!$I$7</f>
        <v>0</v>
      </c>
      <c r="F82" s="104">
        <f>'10 g'!$I$7+'10 g'!$I$8</f>
        <v>0</v>
      </c>
      <c r="G82" s="83">
        <f>'10 g'!$I$15</f>
        <v>0</v>
      </c>
      <c r="H82" s="85">
        <f>'10 g'!$I$10</f>
        <v>0</v>
      </c>
      <c r="I82" s="83">
        <f>'10 g'!$I$11</f>
        <v>0</v>
      </c>
      <c r="J82" s="85">
        <f>'10 g'!$I$16</f>
        <v>0</v>
      </c>
      <c r="L82" s="63" t="s">
        <v>353</v>
      </c>
      <c r="M82" s="618" t="s">
        <v>480</v>
      </c>
      <c r="N82" s="619"/>
    </row>
    <row r="83" spans="1:14" ht="25.5" customHeight="1" x14ac:dyDescent="0.3">
      <c r="A83" s="629"/>
      <c r="B83" s="629"/>
      <c r="C83" s="622" t="s">
        <v>28</v>
      </c>
      <c r="D83" s="623"/>
      <c r="E83" s="83">
        <f>'10 g'!$J$7</f>
        <v>0</v>
      </c>
      <c r="F83" s="104">
        <f>'10 g'!$J$7+'10 g'!$J$8</f>
        <v>0</v>
      </c>
      <c r="G83" s="83">
        <f>'10 g'!$J$15</f>
        <v>0</v>
      </c>
      <c r="H83" s="85">
        <f>'10 g'!$J$10</f>
        <v>0</v>
      </c>
      <c r="I83" s="83">
        <f>'10 g'!$J$11</f>
        <v>0</v>
      </c>
      <c r="J83" s="85">
        <f>'10 g'!$J$16</f>
        <v>0</v>
      </c>
      <c r="L83" s="63" t="s">
        <v>387</v>
      </c>
      <c r="M83" s="620" t="s">
        <v>355</v>
      </c>
      <c r="N83" s="620"/>
    </row>
    <row r="84" spans="1:14" ht="18.75" customHeight="1" x14ac:dyDescent="0.3">
      <c r="A84" s="629"/>
      <c r="B84" s="629"/>
      <c r="C84" s="622" t="s">
        <v>28</v>
      </c>
      <c r="D84" s="623"/>
      <c r="E84" s="83">
        <f>'10 g'!$K$7</f>
        <v>0</v>
      </c>
      <c r="F84" s="104">
        <f>'10 g'!$K$7+'10 g'!$K$8</f>
        <v>0</v>
      </c>
      <c r="G84" s="83">
        <f>'10 g'!$K$15</f>
        <v>0</v>
      </c>
      <c r="H84" s="85">
        <f>'10 g'!$K$10</f>
        <v>0</v>
      </c>
      <c r="I84" s="83">
        <f>'10 g'!$K$11</f>
        <v>0</v>
      </c>
      <c r="J84" s="85">
        <f>'10 g'!$K$16</f>
        <v>0</v>
      </c>
      <c r="L84" s="63" t="s">
        <v>388</v>
      </c>
      <c r="M84" s="621" t="s">
        <v>26</v>
      </c>
      <c r="N84" s="621"/>
    </row>
    <row r="85" spans="1:14" ht="20.25" customHeight="1" x14ac:dyDescent="0.3">
      <c r="A85" s="629"/>
      <c r="B85" s="629"/>
      <c r="C85" s="622" t="s">
        <v>28</v>
      </c>
      <c r="D85" s="623"/>
      <c r="E85" s="83">
        <f>'10 g'!$L$7</f>
        <v>0</v>
      </c>
      <c r="F85" s="104">
        <f>'10 g'!$L$7+'10 g'!$L$8</f>
        <v>0</v>
      </c>
      <c r="G85" s="83">
        <f>'10 g'!$L$15</f>
        <v>0</v>
      </c>
      <c r="H85" s="85">
        <f>'10 g'!$L$10</f>
        <v>0</v>
      </c>
      <c r="I85" s="83">
        <f>'10 g'!$L$11</f>
        <v>0</v>
      </c>
      <c r="J85" s="85">
        <f>'10 g'!$L$16</f>
        <v>0</v>
      </c>
    </row>
    <row r="86" spans="1:14" ht="24" customHeight="1" x14ac:dyDescent="0.3">
      <c r="A86" s="629"/>
      <c r="B86" s="629"/>
      <c r="C86" s="622" t="s">
        <v>28</v>
      </c>
      <c r="D86" s="623"/>
      <c r="E86" s="86">
        <f>'10 g'!$M$7</f>
        <v>0</v>
      </c>
      <c r="F86" s="105">
        <f>'10 g'!$M$7+'10 g'!$M$8</f>
        <v>0</v>
      </c>
      <c r="G86" s="85">
        <f>'10 g'!$M$15</f>
        <v>0</v>
      </c>
      <c r="H86" s="85">
        <f>'10 g'!$M$10</f>
        <v>0</v>
      </c>
      <c r="I86" s="83">
        <f>'10 g'!$M$11</f>
        <v>0</v>
      </c>
      <c r="J86" s="85">
        <f>'10 g'!$M$16</f>
        <v>0</v>
      </c>
    </row>
    <row r="87" spans="1:14" ht="24.75" customHeight="1" x14ac:dyDescent="0.3">
      <c r="A87" s="629"/>
      <c r="B87" s="629"/>
      <c r="C87" s="622" t="s">
        <v>28</v>
      </c>
      <c r="D87" s="623"/>
      <c r="E87" s="86">
        <f>'10 g'!$N$7</f>
        <v>0</v>
      </c>
      <c r="F87" s="105">
        <f>'10 g'!$N$7+'10 g'!$N$8</f>
        <v>0</v>
      </c>
      <c r="G87" s="85">
        <f>'10 g'!$N$15</f>
        <v>0</v>
      </c>
      <c r="H87" s="88">
        <f>'10 g'!$N$10</f>
        <v>0</v>
      </c>
      <c r="I87" s="83">
        <f>'10 g'!$N$11</f>
        <v>0</v>
      </c>
      <c r="J87" s="85">
        <f>'10 g'!$N$16</f>
        <v>0</v>
      </c>
    </row>
    <row r="88" spans="1:14" ht="23.25" customHeight="1" x14ac:dyDescent="0.3">
      <c r="A88" s="629"/>
      <c r="B88" s="629"/>
      <c r="C88" s="622" t="s">
        <v>28</v>
      </c>
      <c r="D88" s="623"/>
      <c r="E88" s="86">
        <f>'10 g'!$O$7</f>
        <v>0</v>
      </c>
      <c r="F88" s="105">
        <f>'10 g'!$O$7+'10 g'!$O$8</f>
        <v>0</v>
      </c>
      <c r="G88" s="85">
        <f>'10 g'!$O$15</f>
        <v>0</v>
      </c>
      <c r="H88" s="85">
        <f>'10 g'!$O$10</f>
        <v>0</v>
      </c>
      <c r="I88" s="85">
        <f>'10 g'!$O$11</f>
        <v>0</v>
      </c>
      <c r="J88" s="85">
        <f>'10 g'!$O$16</f>
        <v>0</v>
      </c>
    </row>
    <row r="89" spans="1:14" ht="27.75" customHeight="1" x14ac:dyDescent="0.3">
      <c r="A89" s="629"/>
      <c r="B89" s="629"/>
      <c r="C89" s="95" t="s">
        <v>378</v>
      </c>
      <c r="D89" s="570" t="s">
        <v>79</v>
      </c>
      <c r="E89" s="90">
        <f>'10 g'!$R$24</f>
        <v>200</v>
      </c>
      <c r="F89" s="106">
        <f>'10 g'!$R$24+'10 g'!$R$25</f>
        <v>200.00001599999999</v>
      </c>
      <c r="G89" s="101" t="s">
        <v>379</v>
      </c>
      <c r="H89" s="101" t="s">
        <v>380</v>
      </c>
      <c r="I89" s="101" t="s">
        <v>381</v>
      </c>
      <c r="J89" s="101" t="s">
        <v>382</v>
      </c>
    </row>
    <row r="90" spans="1:14" ht="19.5" customHeight="1" x14ac:dyDescent="0.3">
      <c r="A90" s="629"/>
      <c r="B90" s="629"/>
      <c r="C90" s="624" t="s">
        <v>363</v>
      </c>
      <c r="D90" s="625"/>
      <c r="E90" s="56">
        <v>0</v>
      </c>
      <c r="F90" s="57" t="s">
        <v>32</v>
      </c>
      <c r="G90" s="539" t="s">
        <v>205</v>
      </c>
      <c r="H90" s="539" t="s">
        <v>91</v>
      </c>
      <c r="I90" s="627" t="s">
        <v>739</v>
      </c>
      <c r="J90" s="627"/>
    </row>
    <row r="91" spans="1:14" ht="15" x14ac:dyDescent="0.3">
      <c r="A91" s="629"/>
      <c r="B91" s="629"/>
      <c r="C91" s="98" t="s">
        <v>364</v>
      </c>
      <c r="D91" s="89" t="s">
        <v>365</v>
      </c>
      <c r="E91" s="89" t="s">
        <v>366</v>
      </c>
      <c r="F91" s="89" t="s">
        <v>367</v>
      </c>
      <c r="G91" s="97" t="s">
        <v>384</v>
      </c>
      <c r="H91" s="97" t="s">
        <v>386</v>
      </c>
      <c r="I91" s="97" t="s">
        <v>383</v>
      </c>
      <c r="J91" s="97" t="s">
        <v>385</v>
      </c>
    </row>
    <row r="92" spans="1:14" x14ac:dyDescent="0.3">
      <c r="A92" s="629"/>
      <c r="B92" s="629"/>
      <c r="C92" s="99" t="s">
        <v>32</v>
      </c>
      <c r="D92" s="89" t="str">
        <f>C92</f>
        <v>g</v>
      </c>
      <c r="E92" s="89" t="str">
        <f>D92</f>
        <v>g</v>
      </c>
      <c r="F92" s="89" t="str">
        <f>E92</f>
        <v>g</v>
      </c>
      <c r="G92" s="61">
        <f>'10 g'!$C$8</f>
        <v>7700</v>
      </c>
      <c r="H92" s="61">
        <f>'10 g'!$C$17</f>
        <v>100</v>
      </c>
      <c r="I92" s="61">
        <f>'10 g'!$C$24</f>
        <v>0.1</v>
      </c>
      <c r="J92" s="61">
        <f>'10 g'!$C$29</f>
        <v>0.1</v>
      </c>
    </row>
    <row r="93" spans="1:14" x14ac:dyDescent="0.3">
      <c r="A93" s="629"/>
      <c r="B93" s="629"/>
      <c r="C93" s="107"/>
      <c r="D93" s="107"/>
      <c r="E93" s="108"/>
      <c r="F93" s="108"/>
      <c r="G93" s="66" t="s">
        <v>368</v>
      </c>
      <c r="H93" s="67" t="s">
        <v>369</v>
      </c>
      <c r="I93" s="67" t="s">
        <v>373</v>
      </c>
      <c r="J93" s="102"/>
    </row>
    <row r="94" spans="1:14" x14ac:dyDescent="0.3">
      <c r="A94" s="629"/>
      <c r="B94" s="629"/>
      <c r="C94" s="107"/>
      <c r="D94" s="107"/>
      <c r="E94" s="108"/>
      <c r="F94" s="108"/>
      <c r="G94" s="62" t="s">
        <v>370</v>
      </c>
      <c r="H94" s="52">
        <v>19.899999999999999</v>
      </c>
      <c r="I94" s="52">
        <v>20</v>
      </c>
      <c r="J94" s="69" t="s">
        <v>7</v>
      </c>
    </row>
    <row r="95" spans="1:14" x14ac:dyDescent="0.3">
      <c r="A95" s="629"/>
      <c r="B95" s="629"/>
      <c r="C95" s="107"/>
      <c r="D95" s="107"/>
      <c r="E95" s="108"/>
      <c r="F95" s="108"/>
      <c r="G95" s="62" t="s">
        <v>371</v>
      </c>
      <c r="H95" s="52">
        <v>41.7</v>
      </c>
      <c r="I95" s="54">
        <v>42.4</v>
      </c>
      <c r="J95" s="70" t="s">
        <v>42</v>
      </c>
    </row>
    <row r="96" spans="1:14" x14ac:dyDescent="0.3">
      <c r="A96" s="629"/>
      <c r="B96" s="629"/>
      <c r="C96" s="107"/>
      <c r="D96" s="107"/>
      <c r="E96" s="108"/>
      <c r="F96" s="108"/>
      <c r="G96" s="71" t="s">
        <v>372</v>
      </c>
      <c r="H96" s="52">
        <v>1001</v>
      </c>
      <c r="I96" s="52">
        <v>1001</v>
      </c>
      <c r="J96" s="72" t="s">
        <v>374</v>
      </c>
    </row>
    <row r="97" spans="1:14" x14ac:dyDescent="0.3">
      <c r="A97" s="55"/>
      <c r="B97" s="55"/>
      <c r="C97" s="55"/>
      <c r="D97" s="55"/>
      <c r="E97" s="55"/>
      <c r="F97" s="55"/>
      <c r="G97" s="55"/>
      <c r="H97" s="55"/>
      <c r="I97" s="55"/>
      <c r="J97" s="55"/>
    </row>
    <row r="98" spans="1:14" x14ac:dyDescent="0.3">
      <c r="A98" s="629">
        <v>6</v>
      </c>
      <c r="B98" s="629"/>
      <c r="C98" s="624" t="s">
        <v>360</v>
      </c>
      <c r="D98" s="626"/>
      <c r="E98" s="94" t="s">
        <v>376</v>
      </c>
      <c r="F98" s="94" t="s">
        <v>377</v>
      </c>
      <c r="G98" s="94" t="s">
        <v>16</v>
      </c>
      <c r="H98" s="94" t="s">
        <v>361</v>
      </c>
      <c r="I98" s="94" t="s">
        <v>362</v>
      </c>
      <c r="J98" s="94" t="s">
        <v>36</v>
      </c>
    </row>
    <row r="99" spans="1:14" ht="23.25" customHeight="1" x14ac:dyDescent="0.3">
      <c r="A99" s="629"/>
      <c r="B99" s="629"/>
      <c r="C99" s="622" t="s">
        <v>28</v>
      </c>
      <c r="D99" s="623"/>
      <c r="E99" s="83">
        <f>'20 g'!$I$7</f>
        <v>0</v>
      </c>
      <c r="F99" s="84">
        <f>'20 g'!$I$7+'20 g'!$I$8</f>
        <v>0</v>
      </c>
      <c r="G99" s="83">
        <f>'20 g'!$I$15</f>
        <v>0</v>
      </c>
      <c r="H99" s="85">
        <f>'20 g'!$I$10</f>
        <v>0</v>
      </c>
      <c r="I99" s="83">
        <f>'20 g'!$I$11</f>
        <v>0</v>
      </c>
      <c r="J99" s="85">
        <f>'20 g'!$I$16</f>
        <v>0</v>
      </c>
      <c r="L99" s="63" t="s">
        <v>353</v>
      </c>
      <c r="M99" s="618" t="s">
        <v>480</v>
      </c>
      <c r="N99" s="619"/>
    </row>
    <row r="100" spans="1:14" ht="21" customHeight="1" x14ac:dyDescent="0.3">
      <c r="A100" s="629"/>
      <c r="B100" s="629"/>
      <c r="C100" s="622" t="s">
        <v>28</v>
      </c>
      <c r="D100" s="623"/>
      <c r="E100" s="83">
        <f>'20 g'!$J$7</f>
        <v>0</v>
      </c>
      <c r="F100" s="84">
        <f>'20 g'!$J$7+'20 g'!$J$8</f>
        <v>0</v>
      </c>
      <c r="G100" s="83">
        <f>'20 g'!$J$15</f>
        <v>0</v>
      </c>
      <c r="H100" s="85">
        <f>'20 g'!$J$10</f>
        <v>0</v>
      </c>
      <c r="I100" s="83">
        <f>'20 g'!$J$11</f>
        <v>0</v>
      </c>
      <c r="J100" s="85">
        <f>'20 g'!$J$16</f>
        <v>0</v>
      </c>
      <c r="L100" s="63" t="s">
        <v>387</v>
      </c>
      <c r="M100" s="620" t="s">
        <v>355</v>
      </c>
      <c r="N100" s="620"/>
    </row>
    <row r="101" spans="1:14" ht="19.5" customHeight="1" x14ac:dyDescent="0.3">
      <c r="A101" s="629"/>
      <c r="B101" s="629"/>
      <c r="C101" s="622" t="s">
        <v>28</v>
      </c>
      <c r="D101" s="623"/>
      <c r="E101" s="83">
        <f>'20 g'!$K$7</f>
        <v>0</v>
      </c>
      <c r="F101" s="84">
        <f>'20 g'!$K$7+'20 g'!$K$8</f>
        <v>0</v>
      </c>
      <c r="G101" s="83">
        <f>'20 g'!$K$15</f>
        <v>0</v>
      </c>
      <c r="H101" s="85">
        <f>'20 g'!$K$10</f>
        <v>0</v>
      </c>
      <c r="I101" s="83">
        <f>'20 g'!$K$11</f>
        <v>0</v>
      </c>
      <c r="J101" s="85">
        <f>'20 g'!$K$16</f>
        <v>0</v>
      </c>
      <c r="L101" s="63" t="s">
        <v>388</v>
      </c>
      <c r="M101" s="621" t="s">
        <v>26</v>
      </c>
      <c r="N101" s="621"/>
    </row>
    <row r="102" spans="1:14" ht="22.5" customHeight="1" x14ac:dyDescent="0.3">
      <c r="A102" s="629"/>
      <c r="B102" s="629"/>
      <c r="C102" s="622" t="s">
        <v>28</v>
      </c>
      <c r="D102" s="623"/>
      <c r="E102" s="83">
        <f>'20 g'!$L$7</f>
        <v>0</v>
      </c>
      <c r="F102" s="84">
        <f>'20 g'!$L$7+'20 g'!$L$8</f>
        <v>0</v>
      </c>
      <c r="G102" s="83">
        <f>'20 g'!$L$15</f>
        <v>0</v>
      </c>
      <c r="H102" s="85">
        <f>'20 g'!$L$10</f>
        <v>0</v>
      </c>
      <c r="I102" s="83">
        <f>'20 g'!$L$11</f>
        <v>0</v>
      </c>
      <c r="J102" s="85">
        <f>'20 g'!$L$16</f>
        <v>0</v>
      </c>
    </row>
    <row r="103" spans="1:14" ht="19.5" customHeight="1" x14ac:dyDescent="0.3">
      <c r="A103" s="629"/>
      <c r="B103" s="629"/>
      <c r="C103" s="622" t="s">
        <v>28</v>
      </c>
      <c r="D103" s="623"/>
      <c r="E103" s="86">
        <f>'20 g'!$M$7</f>
        <v>0</v>
      </c>
      <c r="F103" s="87">
        <f>'20 g'!$M$7+'20 g'!$M$8</f>
        <v>0</v>
      </c>
      <c r="G103" s="85">
        <f>'20 g'!$M$15</f>
        <v>0</v>
      </c>
      <c r="H103" s="85">
        <f>'20 g'!$M$10</f>
        <v>0</v>
      </c>
      <c r="I103" s="83">
        <f>'20 g'!$M$11</f>
        <v>0</v>
      </c>
      <c r="J103" s="85">
        <f>'20 g'!$M$16</f>
        <v>0</v>
      </c>
    </row>
    <row r="104" spans="1:14" ht="24.75" customHeight="1" x14ac:dyDescent="0.3">
      <c r="A104" s="629"/>
      <c r="B104" s="629"/>
      <c r="C104" s="622" t="s">
        <v>28</v>
      </c>
      <c r="D104" s="623"/>
      <c r="E104" s="86">
        <f>'20 g'!$N$7</f>
        <v>0</v>
      </c>
      <c r="F104" s="87">
        <f>'20 g'!$N$7+'20 g'!$N$8</f>
        <v>0</v>
      </c>
      <c r="G104" s="85">
        <f>'20 g'!$N$15</f>
        <v>0</v>
      </c>
      <c r="H104" s="88">
        <f>'20 g'!$N$10</f>
        <v>0</v>
      </c>
      <c r="I104" s="83">
        <f>'20 g'!$N$11</f>
        <v>0</v>
      </c>
      <c r="J104" s="85">
        <f>'20 g'!$N$16</f>
        <v>0</v>
      </c>
    </row>
    <row r="105" spans="1:14" ht="19.5" customHeight="1" x14ac:dyDescent="0.3">
      <c r="A105" s="629"/>
      <c r="B105" s="629"/>
      <c r="C105" s="622" t="s">
        <v>28</v>
      </c>
      <c r="D105" s="623"/>
      <c r="E105" s="86">
        <f>'20 g'!$O$7</f>
        <v>0</v>
      </c>
      <c r="F105" s="87">
        <f>'20 g'!$O$7+'20 g'!$O$8</f>
        <v>0</v>
      </c>
      <c r="G105" s="85">
        <f>'20 g'!$O$15</f>
        <v>0</v>
      </c>
      <c r="H105" s="85">
        <f>'20 g'!$O$10</f>
        <v>0</v>
      </c>
      <c r="I105" s="85">
        <f>'20 g'!$O$11</f>
        <v>0</v>
      </c>
      <c r="J105" s="85">
        <f>'20 g'!$O$16</f>
        <v>0</v>
      </c>
    </row>
    <row r="106" spans="1:14" ht="26.25" customHeight="1" x14ac:dyDescent="0.3">
      <c r="A106" s="629"/>
      <c r="B106" s="629"/>
      <c r="C106" s="95" t="s">
        <v>378</v>
      </c>
      <c r="D106" s="570" t="s">
        <v>79</v>
      </c>
      <c r="E106" s="90">
        <f>'20 g'!$R$24</f>
        <v>200</v>
      </c>
      <c r="F106" s="91">
        <f>'20 g'!$R$24+'20 g'!$R$25</f>
        <v>200.00001599999999</v>
      </c>
      <c r="G106" s="101" t="s">
        <v>379</v>
      </c>
      <c r="H106" s="101" t="s">
        <v>380</v>
      </c>
      <c r="I106" s="101" t="s">
        <v>381</v>
      </c>
      <c r="J106" s="101" t="s">
        <v>382</v>
      </c>
    </row>
    <row r="107" spans="1:14" ht="18.75" customHeight="1" x14ac:dyDescent="0.3">
      <c r="A107" s="629"/>
      <c r="B107" s="629"/>
      <c r="C107" s="624" t="s">
        <v>363</v>
      </c>
      <c r="D107" s="625"/>
      <c r="E107" s="56">
        <v>0</v>
      </c>
      <c r="F107" s="57" t="s">
        <v>32</v>
      </c>
      <c r="G107" s="539" t="s">
        <v>205</v>
      </c>
      <c r="H107" s="539" t="s">
        <v>91</v>
      </c>
      <c r="I107" s="627" t="s">
        <v>739</v>
      </c>
      <c r="J107" s="627"/>
    </row>
    <row r="108" spans="1:14" ht="15" x14ac:dyDescent="0.3">
      <c r="A108" s="629"/>
      <c r="B108" s="629"/>
      <c r="C108" s="98" t="s">
        <v>364</v>
      </c>
      <c r="D108" s="89" t="s">
        <v>365</v>
      </c>
      <c r="E108" s="89" t="s">
        <v>366</v>
      </c>
      <c r="F108" s="89" t="s">
        <v>367</v>
      </c>
      <c r="G108" s="97" t="s">
        <v>384</v>
      </c>
      <c r="H108" s="97" t="s">
        <v>386</v>
      </c>
      <c r="I108" s="97" t="s">
        <v>383</v>
      </c>
      <c r="J108" s="97" t="s">
        <v>385</v>
      </c>
    </row>
    <row r="109" spans="1:14" x14ac:dyDescent="0.3">
      <c r="A109" s="629"/>
      <c r="B109" s="629"/>
      <c r="C109" s="99" t="s">
        <v>32</v>
      </c>
      <c r="D109" s="89" t="str">
        <f>C109</f>
        <v>g</v>
      </c>
      <c r="E109" s="89" t="str">
        <f>D109</f>
        <v>g</v>
      </c>
      <c r="F109" s="89" t="str">
        <f>E109</f>
        <v>g</v>
      </c>
      <c r="G109" s="61">
        <f>'20 g'!$C$8</f>
        <v>7700</v>
      </c>
      <c r="H109" s="61">
        <f>'20 g'!$C$17</f>
        <v>100</v>
      </c>
      <c r="I109" s="61">
        <f>'20 g'!$C$24</f>
        <v>0.1</v>
      </c>
      <c r="J109" s="61">
        <f>'20 g'!$C$29</f>
        <v>0.1</v>
      </c>
    </row>
    <row r="110" spans="1:14" x14ac:dyDescent="0.3">
      <c r="A110" s="629"/>
      <c r="B110" s="629"/>
      <c r="C110" s="107"/>
      <c r="D110" s="107"/>
      <c r="E110" s="108"/>
      <c r="F110" s="108"/>
      <c r="G110" s="66" t="s">
        <v>368</v>
      </c>
      <c r="H110" s="67" t="s">
        <v>369</v>
      </c>
      <c r="I110" s="67" t="s">
        <v>373</v>
      </c>
      <c r="J110" s="102"/>
    </row>
    <row r="111" spans="1:14" x14ac:dyDescent="0.3">
      <c r="A111" s="629"/>
      <c r="B111" s="629"/>
      <c r="C111" s="107"/>
      <c r="D111" s="107"/>
      <c r="E111" s="108"/>
      <c r="F111" s="108"/>
      <c r="G111" s="62" t="s">
        <v>370</v>
      </c>
      <c r="H111" s="52">
        <v>19.5</v>
      </c>
      <c r="I111" s="52">
        <v>19.3</v>
      </c>
      <c r="J111" s="69" t="s">
        <v>7</v>
      </c>
    </row>
    <row r="112" spans="1:14" x14ac:dyDescent="0.3">
      <c r="A112" s="629"/>
      <c r="B112" s="629"/>
      <c r="C112" s="107"/>
      <c r="D112" s="107"/>
      <c r="E112" s="108"/>
      <c r="F112" s="108"/>
      <c r="G112" s="62" t="s">
        <v>371</v>
      </c>
      <c r="H112" s="52">
        <v>54.5</v>
      </c>
      <c r="I112" s="54">
        <v>51.6</v>
      </c>
      <c r="J112" s="70" t="s">
        <v>42</v>
      </c>
    </row>
    <row r="113" spans="1:14" x14ac:dyDescent="0.3">
      <c r="A113" s="629"/>
      <c r="B113" s="629"/>
      <c r="C113" s="107"/>
      <c r="D113" s="107"/>
      <c r="E113" s="108"/>
      <c r="F113" s="108"/>
      <c r="G113" s="71" t="s">
        <v>372</v>
      </c>
      <c r="H113" s="52">
        <v>1001</v>
      </c>
      <c r="I113" s="52">
        <v>1001</v>
      </c>
      <c r="J113" s="72" t="s">
        <v>374</v>
      </c>
    </row>
    <row r="114" spans="1:14" x14ac:dyDescent="0.3">
      <c r="A114" s="55"/>
      <c r="B114" s="55"/>
      <c r="C114" s="55"/>
      <c r="D114" s="55"/>
      <c r="E114" s="55"/>
      <c r="F114" s="55"/>
      <c r="G114" s="55"/>
      <c r="H114" s="55"/>
      <c r="I114" s="55"/>
      <c r="J114" s="55"/>
    </row>
    <row r="115" spans="1:14" x14ac:dyDescent="0.3">
      <c r="A115" s="629">
        <v>7</v>
      </c>
      <c r="B115" s="629"/>
      <c r="C115" s="624" t="s">
        <v>360</v>
      </c>
      <c r="D115" s="626"/>
      <c r="E115" s="94" t="s">
        <v>376</v>
      </c>
      <c r="F115" s="94" t="s">
        <v>377</v>
      </c>
      <c r="G115" s="94" t="s">
        <v>16</v>
      </c>
      <c r="H115" s="94" t="s">
        <v>361</v>
      </c>
      <c r="I115" s="94" t="s">
        <v>362</v>
      </c>
      <c r="J115" s="94" t="s">
        <v>36</v>
      </c>
    </row>
    <row r="116" spans="1:14" ht="19.5" customHeight="1" x14ac:dyDescent="0.3">
      <c r="A116" s="629"/>
      <c r="B116" s="629"/>
      <c r="C116" s="622" t="s">
        <v>28</v>
      </c>
      <c r="D116" s="623"/>
      <c r="E116" s="83">
        <f>'20 g,'!$I$7</f>
        <v>0</v>
      </c>
      <c r="F116" s="84">
        <f>'20 g,'!$I$7+'20 g,'!$I$8</f>
        <v>0</v>
      </c>
      <c r="G116" s="83">
        <f>'20 g,'!$I$15</f>
        <v>0</v>
      </c>
      <c r="H116" s="85">
        <f>'20 g,'!$I$10</f>
        <v>0</v>
      </c>
      <c r="I116" s="83">
        <f>'20 g,'!$I$11</f>
        <v>0</v>
      </c>
      <c r="J116" s="85">
        <f>'20 g,'!$I$16</f>
        <v>0</v>
      </c>
      <c r="L116" s="63" t="s">
        <v>353</v>
      </c>
      <c r="M116" s="618" t="s">
        <v>480</v>
      </c>
      <c r="N116" s="619"/>
    </row>
    <row r="117" spans="1:14" ht="21.75" customHeight="1" x14ac:dyDescent="0.3">
      <c r="A117" s="629"/>
      <c r="B117" s="629"/>
      <c r="C117" s="622" t="s">
        <v>28</v>
      </c>
      <c r="D117" s="623"/>
      <c r="E117" s="83">
        <f>'20 g,'!$J$7</f>
        <v>0</v>
      </c>
      <c r="F117" s="84">
        <f>'20 g,'!$J$7+'20 g,'!$J$8</f>
        <v>0</v>
      </c>
      <c r="G117" s="83">
        <f>'20 g,'!$J$15</f>
        <v>0</v>
      </c>
      <c r="H117" s="85">
        <f>'20 g,'!$J$10</f>
        <v>0</v>
      </c>
      <c r="I117" s="83">
        <f>'20 g,'!$J$11</f>
        <v>0</v>
      </c>
      <c r="J117" s="85">
        <f>'20 g,'!$J$16</f>
        <v>0</v>
      </c>
      <c r="L117" s="63" t="s">
        <v>387</v>
      </c>
      <c r="M117" s="620" t="s">
        <v>355</v>
      </c>
      <c r="N117" s="620"/>
    </row>
    <row r="118" spans="1:14" ht="17.25" customHeight="1" x14ac:dyDescent="0.3">
      <c r="A118" s="629"/>
      <c r="B118" s="629"/>
      <c r="C118" s="622" t="s">
        <v>28</v>
      </c>
      <c r="D118" s="623"/>
      <c r="E118" s="83">
        <f>'20 g,'!$K$7</f>
        <v>0</v>
      </c>
      <c r="F118" s="84">
        <f>'20 g,'!$K$7+'20 g,'!$K$8</f>
        <v>0</v>
      </c>
      <c r="G118" s="83">
        <f>'20 g,'!$K$15</f>
        <v>0</v>
      </c>
      <c r="H118" s="85">
        <f>'20 g,'!$K$10</f>
        <v>0</v>
      </c>
      <c r="I118" s="83">
        <f>'20 g,'!$K$11</f>
        <v>0</v>
      </c>
      <c r="J118" s="85">
        <f>'20 g,'!$K$16</f>
        <v>0</v>
      </c>
      <c r="L118" s="63" t="s">
        <v>388</v>
      </c>
      <c r="M118" s="621" t="s">
        <v>26</v>
      </c>
      <c r="N118" s="621"/>
    </row>
    <row r="119" spans="1:14" ht="16.5" customHeight="1" x14ac:dyDescent="0.3">
      <c r="A119" s="629"/>
      <c r="B119" s="629"/>
      <c r="C119" s="622" t="s">
        <v>28</v>
      </c>
      <c r="D119" s="623"/>
      <c r="E119" s="83">
        <f>'20 g,'!$L$7</f>
        <v>0</v>
      </c>
      <c r="F119" s="84">
        <f>'20 g,'!$L$7+'20 g,'!$L$8</f>
        <v>0</v>
      </c>
      <c r="G119" s="83">
        <f>'20 g,'!$L$15</f>
        <v>0</v>
      </c>
      <c r="H119" s="85">
        <f>'20 g,'!$L$10</f>
        <v>0</v>
      </c>
      <c r="I119" s="83">
        <f>'20 g,'!$L$11</f>
        <v>0</v>
      </c>
      <c r="J119" s="85">
        <f>'20 g,'!$L$16</f>
        <v>0</v>
      </c>
    </row>
    <row r="120" spans="1:14" ht="20.25" customHeight="1" x14ac:dyDescent="0.3">
      <c r="A120" s="629"/>
      <c r="B120" s="629"/>
      <c r="C120" s="622" t="s">
        <v>28</v>
      </c>
      <c r="D120" s="623"/>
      <c r="E120" s="86">
        <f>'20 g,'!$M$7</f>
        <v>0</v>
      </c>
      <c r="F120" s="87">
        <f>'20 g,'!$M$7+'20 g,'!$M$8</f>
        <v>0</v>
      </c>
      <c r="G120" s="85">
        <f>'20 g,'!$M$15</f>
        <v>0</v>
      </c>
      <c r="H120" s="85">
        <f>'20 g,'!$M$10</f>
        <v>0</v>
      </c>
      <c r="I120" s="83">
        <f>'20 g,'!$M$11</f>
        <v>0</v>
      </c>
      <c r="J120" s="85">
        <f>'20 g,'!$M$16</f>
        <v>0</v>
      </c>
    </row>
    <row r="121" spans="1:14" ht="23.25" customHeight="1" x14ac:dyDescent="0.3">
      <c r="A121" s="629"/>
      <c r="B121" s="629"/>
      <c r="C121" s="622" t="s">
        <v>28</v>
      </c>
      <c r="D121" s="623"/>
      <c r="E121" s="86">
        <f>'20 g,'!$N$7</f>
        <v>0</v>
      </c>
      <c r="F121" s="87">
        <f>'20 g,'!$N$7+'20 g,'!$N$8</f>
        <v>0</v>
      </c>
      <c r="G121" s="85">
        <f>'20 g,'!$N$15</f>
        <v>0</v>
      </c>
      <c r="H121" s="88">
        <f>'20 g,'!$N$10</f>
        <v>0</v>
      </c>
      <c r="I121" s="83">
        <f>'20 g,'!$N$11</f>
        <v>0</v>
      </c>
      <c r="J121" s="85">
        <f>'20 g,'!$N$16</f>
        <v>0</v>
      </c>
    </row>
    <row r="122" spans="1:14" ht="21.75" customHeight="1" x14ac:dyDescent="0.3">
      <c r="A122" s="629"/>
      <c r="B122" s="629"/>
      <c r="C122" s="622" t="s">
        <v>28</v>
      </c>
      <c r="D122" s="623"/>
      <c r="E122" s="86">
        <f>'20 g,'!$O$7</f>
        <v>0</v>
      </c>
      <c r="F122" s="87">
        <f>'20 g,'!$O$7+'20 g,'!$O$8</f>
        <v>0</v>
      </c>
      <c r="G122" s="85">
        <f>'20 g,'!$O$15</f>
        <v>0</v>
      </c>
      <c r="H122" s="85">
        <f>'20 g,'!$O$10</f>
        <v>0</v>
      </c>
      <c r="I122" s="85">
        <f>'20 g,'!$O$11</f>
        <v>0</v>
      </c>
      <c r="J122" s="85">
        <f>'20 g,'!$O$16</f>
        <v>0</v>
      </c>
    </row>
    <row r="123" spans="1:14" ht="24.75" customHeight="1" x14ac:dyDescent="0.3">
      <c r="A123" s="629"/>
      <c r="B123" s="629"/>
      <c r="C123" s="95" t="s">
        <v>378</v>
      </c>
      <c r="D123" s="570" t="s">
        <v>79</v>
      </c>
      <c r="E123" s="90">
        <f>'20 g,'!$R$24</f>
        <v>200</v>
      </c>
      <c r="F123" s="91">
        <f>'20 g,'!$R$24+'20 g,'!$R$25</f>
        <v>200.00001599999999</v>
      </c>
      <c r="G123" s="101" t="s">
        <v>379</v>
      </c>
      <c r="H123" s="101" t="s">
        <v>380</v>
      </c>
      <c r="I123" s="101" t="s">
        <v>381</v>
      </c>
      <c r="J123" s="101" t="s">
        <v>382</v>
      </c>
    </row>
    <row r="124" spans="1:14" ht="24" customHeight="1" x14ac:dyDescent="0.3">
      <c r="A124" s="629"/>
      <c r="B124" s="629"/>
      <c r="C124" s="624" t="s">
        <v>363</v>
      </c>
      <c r="D124" s="625"/>
      <c r="E124" s="56">
        <v>0</v>
      </c>
      <c r="F124" s="57" t="s">
        <v>32</v>
      </c>
      <c r="G124" s="539" t="s">
        <v>205</v>
      </c>
      <c r="H124" s="539" t="s">
        <v>91</v>
      </c>
      <c r="I124" s="627" t="s">
        <v>739</v>
      </c>
      <c r="J124" s="627"/>
    </row>
    <row r="125" spans="1:14" ht="22.5" customHeight="1" x14ac:dyDescent="0.3">
      <c r="A125" s="629"/>
      <c r="B125" s="629"/>
      <c r="C125" s="98" t="s">
        <v>364</v>
      </c>
      <c r="D125" s="89" t="s">
        <v>365</v>
      </c>
      <c r="E125" s="89" t="s">
        <v>366</v>
      </c>
      <c r="F125" s="89" t="s">
        <v>367</v>
      </c>
      <c r="G125" s="97" t="s">
        <v>384</v>
      </c>
      <c r="H125" s="97" t="s">
        <v>386</v>
      </c>
      <c r="I125" s="97" t="s">
        <v>383</v>
      </c>
      <c r="J125" s="97" t="s">
        <v>385</v>
      </c>
    </row>
    <row r="126" spans="1:14" ht="21.75" customHeight="1" x14ac:dyDescent="0.3">
      <c r="A126" s="629"/>
      <c r="B126" s="629"/>
      <c r="C126" s="99" t="s">
        <v>32</v>
      </c>
      <c r="D126" s="89" t="str">
        <f>C126</f>
        <v>g</v>
      </c>
      <c r="E126" s="89" t="str">
        <f>D126</f>
        <v>g</v>
      </c>
      <c r="F126" s="89" t="str">
        <f>E126</f>
        <v>g</v>
      </c>
      <c r="G126" s="61">
        <f>'20 g,'!$C$8</f>
        <v>7700</v>
      </c>
      <c r="H126" s="61">
        <f>'20 g,'!$C$17</f>
        <v>100</v>
      </c>
      <c r="I126" s="61">
        <f>'20 g,'!$C$24</f>
        <v>0.1</v>
      </c>
      <c r="J126" s="61">
        <f>'20 g,'!$C$29</f>
        <v>0.1</v>
      </c>
    </row>
    <row r="127" spans="1:14" ht="18" customHeight="1" x14ac:dyDescent="0.3">
      <c r="A127" s="629"/>
      <c r="B127" s="629"/>
      <c r="C127" s="107"/>
      <c r="D127" s="107"/>
      <c r="E127" s="108"/>
      <c r="F127" s="108"/>
      <c r="G127" s="66" t="s">
        <v>368</v>
      </c>
      <c r="H127" s="67" t="s">
        <v>369</v>
      </c>
      <c r="I127" s="67" t="s">
        <v>373</v>
      </c>
      <c r="J127" s="102"/>
    </row>
    <row r="128" spans="1:14" x14ac:dyDescent="0.3">
      <c r="A128" s="629"/>
      <c r="B128" s="629"/>
      <c r="C128" s="107"/>
      <c r="D128" s="107"/>
      <c r="E128" s="108"/>
      <c r="F128" s="108"/>
      <c r="G128" s="62" t="s">
        <v>370</v>
      </c>
      <c r="H128" s="52">
        <v>19.899999999999999</v>
      </c>
      <c r="I128" s="52">
        <v>19.7</v>
      </c>
      <c r="J128" s="69" t="s">
        <v>7</v>
      </c>
    </row>
    <row r="129" spans="1:14" x14ac:dyDescent="0.3">
      <c r="A129" s="629"/>
      <c r="B129" s="629"/>
      <c r="C129" s="107"/>
      <c r="D129" s="107"/>
      <c r="E129" s="108"/>
      <c r="F129" s="108"/>
      <c r="G129" s="62" t="s">
        <v>371</v>
      </c>
      <c r="H129" s="77">
        <v>58</v>
      </c>
      <c r="I129" s="54">
        <v>57.3</v>
      </c>
      <c r="J129" s="70" t="s">
        <v>42</v>
      </c>
    </row>
    <row r="130" spans="1:14" x14ac:dyDescent="0.3">
      <c r="A130" s="629"/>
      <c r="B130" s="629"/>
      <c r="C130" s="107"/>
      <c r="D130" s="107"/>
      <c r="E130" s="108"/>
      <c r="F130" s="108"/>
      <c r="G130" s="71" t="s">
        <v>372</v>
      </c>
      <c r="H130" s="52">
        <v>1001</v>
      </c>
      <c r="I130" s="52">
        <v>1001</v>
      </c>
      <c r="J130" s="72" t="s">
        <v>374</v>
      </c>
    </row>
    <row r="131" spans="1:14" x14ac:dyDescent="0.3">
      <c r="A131" s="55"/>
      <c r="B131" s="55"/>
      <c r="C131" s="55"/>
      <c r="D131" s="55"/>
      <c r="E131" s="55"/>
      <c r="F131" s="55"/>
      <c r="G131" s="55"/>
      <c r="H131" s="55"/>
      <c r="I131" s="55"/>
      <c r="J131" s="55"/>
    </row>
    <row r="132" spans="1:14" x14ac:dyDescent="0.3">
      <c r="A132" s="629">
        <v>8</v>
      </c>
      <c r="B132" s="629"/>
      <c r="C132" s="624" t="s">
        <v>360</v>
      </c>
      <c r="D132" s="626"/>
      <c r="E132" s="94" t="s">
        <v>376</v>
      </c>
      <c r="F132" s="94" t="s">
        <v>377</v>
      </c>
      <c r="G132" s="94" t="s">
        <v>16</v>
      </c>
      <c r="H132" s="94" t="s">
        <v>361</v>
      </c>
      <c r="I132" s="94" t="s">
        <v>362</v>
      </c>
      <c r="J132" s="94" t="s">
        <v>36</v>
      </c>
    </row>
    <row r="133" spans="1:14" ht="24" customHeight="1" x14ac:dyDescent="0.3">
      <c r="A133" s="629"/>
      <c r="B133" s="629"/>
      <c r="C133" s="622" t="s">
        <v>28</v>
      </c>
      <c r="D133" s="623"/>
      <c r="E133" s="83">
        <f>'50 g'!$I$7</f>
        <v>0</v>
      </c>
      <c r="F133" s="104">
        <f>'50 g'!$I$7+'50 g'!$I$8</f>
        <v>0</v>
      </c>
      <c r="G133" s="83">
        <f>'50 g'!$I$15</f>
        <v>0</v>
      </c>
      <c r="H133" s="85">
        <f>'50 g'!$I$10</f>
        <v>0</v>
      </c>
      <c r="I133" s="83">
        <f>'50 g'!$I$11</f>
        <v>0</v>
      </c>
      <c r="J133" s="85">
        <f>'50 g'!$I$16</f>
        <v>0</v>
      </c>
      <c r="L133" s="63" t="s">
        <v>353</v>
      </c>
      <c r="M133" s="618" t="s">
        <v>480</v>
      </c>
      <c r="N133" s="619"/>
    </row>
    <row r="134" spans="1:14" ht="22.5" customHeight="1" x14ac:dyDescent="0.3">
      <c r="A134" s="629"/>
      <c r="B134" s="629"/>
      <c r="C134" s="622" t="s">
        <v>28</v>
      </c>
      <c r="D134" s="623"/>
      <c r="E134" s="83">
        <f>'50 g'!$J$7</f>
        <v>0</v>
      </c>
      <c r="F134" s="104">
        <f>'50 g'!$J$7+'50 g'!$J$8</f>
        <v>0</v>
      </c>
      <c r="G134" s="83">
        <f>'50 g'!$J$15</f>
        <v>0</v>
      </c>
      <c r="H134" s="85">
        <f>'50 g'!$J$10</f>
        <v>0</v>
      </c>
      <c r="I134" s="83">
        <f>'50 g'!$J$11</f>
        <v>0</v>
      </c>
      <c r="J134" s="85">
        <f>'50 g'!$J$16</f>
        <v>0</v>
      </c>
      <c r="L134" s="63" t="s">
        <v>387</v>
      </c>
      <c r="M134" s="620" t="s">
        <v>355</v>
      </c>
      <c r="N134" s="620"/>
    </row>
    <row r="135" spans="1:14" ht="18.75" customHeight="1" x14ac:dyDescent="0.3">
      <c r="A135" s="629"/>
      <c r="B135" s="629"/>
      <c r="C135" s="622" t="s">
        <v>28</v>
      </c>
      <c r="D135" s="623"/>
      <c r="E135" s="83">
        <f>'50 g'!$K$7</f>
        <v>0</v>
      </c>
      <c r="F135" s="104">
        <f>'50 g'!$K$7+'50 g'!$K$8</f>
        <v>0</v>
      </c>
      <c r="G135" s="83">
        <f>'50 g'!$K$15</f>
        <v>0</v>
      </c>
      <c r="H135" s="85">
        <f>'50 g'!$K$10</f>
        <v>0</v>
      </c>
      <c r="I135" s="83">
        <f>'50 g'!$K$11</f>
        <v>0</v>
      </c>
      <c r="J135" s="85">
        <f>'50 g'!$K$16</f>
        <v>0</v>
      </c>
      <c r="L135" s="63" t="s">
        <v>388</v>
      </c>
      <c r="M135" s="621" t="s">
        <v>26</v>
      </c>
      <c r="N135" s="621"/>
    </row>
    <row r="136" spans="1:14" ht="21.75" customHeight="1" x14ac:dyDescent="0.3">
      <c r="A136" s="629"/>
      <c r="B136" s="629"/>
      <c r="C136" s="622" t="s">
        <v>28</v>
      </c>
      <c r="D136" s="623"/>
      <c r="E136" s="83">
        <f>'50 g'!$L$7</f>
        <v>0</v>
      </c>
      <c r="F136" s="104">
        <f>'50 g'!$L$7+'50 g'!$L$8</f>
        <v>0</v>
      </c>
      <c r="G136" s="83">
        <f>'50 g'!$L$15</f>
        <v>0</v>
      </c>
      <c r="H136" s="85">
        <f>'50 g'!$L$10</f>
        <v>0</v>
      </c>
      <c r="I136" s="83">
        <f>'50 g'!$L$11</f>
        <v>0</v>
      </c>
      <c r="J136" s="85">
        <f>'50 g'!$L$16</f>
        <v>0</v>
      </c>
    </row>
    <row r="137" spans="1:14" ht="20.25" customHeight="1" x14ac:dyDescent="0.3">
      <c r="A137" s="629"/>
      <c r="B137" s="629"/>
      <c r="C137" s="622" t="s">
        <v>28</v>
      </c>
      <c r="D137" s="623"/>
      <c r="E137" s="86">
        <f>'50 g'!$M$7</f>
        <v>0</v>
      </c>
      <c r="F137" s="105">
        <f>'50 g'!$M$7+'50 g'!$M$8</f>
        <v>0</v>
      </c>
      <c r="G137" s="85">
        <f>'50 g'!$M$15</f>
        <v>0</v>
      </c>
      <c r="H137" s="85">
        <f>'50 g'!$M$10</f>
        <v>0</v>
      </c>
      <c r="I137" s="83">
        <f>'50 g'!$M$11</f>
        <v>0</v>
      </c>
      <c r="J137" s="85">
        <f>'50 g'!$M$16</f>
        <v>0</v>
      </c>
    </row>
    <row r="138" spans="1:14" ht="25.5" customHeight="1" x14ac:dyDescent="0.3">
      <c r="A138" s="629"/>
      <c r="B138" s="629"/>
      <c r="C138" s="622" t="s">
        <v>28</v>
      </c>
      <c r="D138" s="623"/>
      <c r="E138" s="86">
        <f>'50 g'!$N$7</f>
        <v>0</v>
      </c>
      <c r="F138" s="105">
        <f>'50 g'!$N$7+'50 g'!$N$8</f>
        <v>0</v>
      </c>
      <c r="G138" s="85">
        <f>'50 g'!$N$15</f>
        <v>0</v>
      </c>
      <c r="H138" s="88">
        <f>'50 g'!$N$10</f>
        <v>0</v>
      </c>
      <c r="I138" s="83">
        <f>'50 g'!$N$11</f>
        <v>0</v>
      </c>
      <c r="J138" s="85">
        <f>'50 g'!$N$16</f>
        <v>0</v>
      </c>
    </row>
    <row r="139" spans="1:14" ht="23.25" customHeight="1" x14ac:dyDescent="0.3">
      <c r="A139" s="629"/>
      <c r="B139" s="629"/>
      <c r="C139" s="622" t="s">
        <v>28</v>
      </c>
      <c r="D139" s="623"/>
      <c r="E139" s="86">
        <f>'50 g'!$O$7</f>
        <v>0</v>
      </c>
      <c r="F139" s="105">
        <f>'50 g'!$O$7+'50 g'!$O$8</f>
        <v>0</v>
      </c>
      <c r="G139" s="85">
        <f>'50 g'!$O$15</f>
        <v>0</v>
      </c>
      <c r="H139" s="85">
        <f>'50 g'!$O$10</f>
        <v>0</v>
      </c>
      <c r="I139" s="85">
        <f>'50 g'!$O$11</f>
        <v>0</v>
      </c>
      <c r="J139" s="85">
        <f>'50 g'!$O$16</f>
        <v>0</v>
      </c>
    </row>
    <row r="140" spans="1:14" ht="26.25" customHeight="1" x14ac:dyDescent="0.3">
      <c r="A140" s="629"/>
      <c r="B140" s="629"/>
      <c r="C140" s="95" t="s">
        <v>378</v>
      </c>
      <c r="D140" s="570" t="s">
        <v>79</v>
      </c>
      <c r="E140" s="90">
        <f>'50 g'!$R$24</f>
        <v>200</v>
      </c>
      <c r="F140" s="106">
        <f>'50 g'!$R$24+'50 g'!$R$25</f>
        <v>200.00001599999999</v>
      </c>
      <c r="G140" s="101" t="s">
        <v>379</v>
      </c>
      <c r="H140" s="101" t="s">
        <v>380</v>
      </c>
      <c r="I140" s="101" t="s">
        <v>381</v>
      </c>
      <c r="J140" s="101" t="s">
        <v>382</v>
      </c>
    </row>
    <row r="141" spans="1:14" ht="20.25" customHeight="1" x14ac:dyDescent="0.3">
      <c r="A141" s="629"/>
      <c r="B141" s="629"/>
      <c r="C141" s="624" t="s">
        <v>363</v>
      </c>
      <c r="D141" s="625"/>
      <c r="E141" s="56">
        <v>0</v>
      </c>
      <c r="F141" s="57" t="s">
        <v>32</v>
      </c>
      <c r="G141" s="539" t="s">
        <v>205</v>
      </c>
      <c r="H141" s="539" t="s">
        <v>91</v>
      </c>
      <c r="I141" s="627" t="s">
        <v>739</v>
      </c>
      <c r="J141" s="627"/>
    </row>
    <row r="142" spans="1:14" ht="15" x14ac:dyDescent="0.3">
      <c r="A142" s="629"/>
      <c r="B142" s="629"/>
      <c r="C142" s="98" t="s">
        <v>364</v>
      </c>
      <c r="D142" s="89" t="s">
        <v>365</v>
      </c>
      <c r="E142" s="89" t="s">
        <v>366</v>
      </c>
      <c r="F142" s="89" t="s">
        <v>367</v>
      </c>
      <c r="G142" s="97" t="s">
        <v>384</v>
      </c>
      <c r="H142" s="97" t="s">
        <v>386</v>
      </c>
      <c r="I142" s="97" t="s">
        <v>383</v>
      </c>
      <c r="J142" s="97" t="s">
        <v>385</v>
      </c>
    </row>
    <row r="143" spans="1:14" x14ac:dyDescent="0.3">
      <c r="A143" s="629"/>
      <c r="B143" s="629"/>
      <c r="C143" s="99" t="s">
        <v>32</v>
      </c>
      <c r="D143" s="89" t="str">
        <f>C143</f>
        <v>g</v>
      </c>
      <c r="E143" s="89" t="str">
        <f>D143</f>
        <v>g</v>
      </c>
      <c r="F143" s="89" t="str">
        <f>E143</f>
        <v>g</v>
      </c>
      <c r="G143" s="61">
        <f>'50 g'!$C$8</f>
        <v>7700</v>
      </c>
      <c r="H143" s="61">
        <f>'50 g'!$C$17</f>
        <v>100</v>
      </c>
      <c r="I143" s="61">
        <f>'50 g'!$C$24</f>
        <v>0.1</v>
      </c>
      <c r="J143" s="61">
        <f>'50 g'!$C$29</f>
        <v>0.1</v>
      </c>
    </row>
    <row r="144" spans="1:14" x14ac:dyDescent="0.3">
      <c r="A144" s="629"/>
      <c r="B144" s="629"/>
      <c r="C144" s="107"/>
      <c r="D144" s="107"/>
      <c r="E144" s="108"/>
      <c r="F144" s="108"/>
      <c r="G144" s="66" t="s">
        <v>368</v>
      </c>
      <c r="H144" s="67" t="s">
        <v>369</v>
      </c>
      <c r="I144" s="67" t="s">
        <v>373</v>
      </c>
      <c r="J144" s="102"/>
    </row>
    <row r="145" spans="1:14" x14ac:dyDescent="0.3">
      <c r="A145" s="629"/>
      <c r="B145" s="629"/>
      <c r="C145" s="107"/>
      <c r="D145" s="107"/>
      <c r="E145" s="108"/>
      <c r="F145" s="108"/>
      <c r="G145" s="62" t="s">
        <v>370</v>
      </c>
      <c r="H145" s="52">
        <v>19.399999999999999</v>
      </c>
      <c r="I145" s="52">
        <v>19.3</v>
      </c>
      <c r="J145" s="69" t="s">
        <v>7</v>
      </c>
    </row>
    <row r="146" spans="1:14" x14ac:dyDescent="0.3">
      <c r="A146" s="629"/>
      <c r="B146" s="629"/>
      <c r="C146" s="107"/>
      <c r="D146" s="107"/>
      <c r="E146" s="108"/>
      <c r="F146" s="108"/>
      <c r="G146" s="62" t="s">
        <v>371</v>
      </c>
      <c r="H146" s="52">
        <v>49.6</v>
      </c>
      <c r="I146" s="54">
        <v>52.5</v>
      </c>
      <c r="J146" s="70" t="s">
        <v>42</v>
      </c>
    </row>
    <row r="147" spans="1:14" x14ac:dyDescent="0.3">
      <c r="A147" s="629"/>
      <c r="B147" s="629"/>
      <c r="C147" s="107"/>
      <c r="D147" s="107"/>
      <c r="E147" s="108"/>
      <c r="F147" s="108"/>
      <c r="G147" s="71" t="s">
        <v>372</v>
      </c>
      <c r="H147" s="52">
        <v>1001</v>
      </c>
      <c r="I147" s="52">
        <v>1001</v>
      </c>
      <c r="J147" s="72" t="s">
        <v>374</v>
      </c>
    </row>
    <row r="148" spans="1:14" x14ac:dyDescent="0.3">
      <c r="A148" s="55"/>
      <c r="B148" s="55"/>
      <c r="C148" s="55"/>
      <c r="D148" s="55"/>
      <c r="E148" s="55"/>
      <c r="F148" s="55"/>
      <c r="G148" s="55"/>
      <c r="H148" s="55"/>
      <c r="I148" s="55"/>
      <c r="J148" s="55"/>
    </row>
    <row r="149" spans="1:14" ht="19.5" customHeight="1" x14ac:dyDescent="0.3">
      <c r="A149" s="629">
        <v>9</v>
      </c>
      <c r="B149" s="629"/>
      <c r="C149" s="624" t="s">
        <v>360</v>
      </c>
      <c r="D149" s="626"/>
      <c r="E149" s="94" t="s">
        <v>376</v>
      </c>
      <c r="F149" s="94" t="s">
        <v>377</v>
      </c>
      <c r="G149" s="94" t="s">
        <v>16</v>
      </c>
      <c r="H149" s="94" t="s">
        <v>361</v>
      </c>
      <c r="I149" s="94" t="s">
        <v>362</v>
      </c>
      <c r="J149" s="94" t="s">
        <v>36</v>
      </c>
    </row>
    <row r="150" spans="1:14" ht="21.75" customHeight="1" x14ac:dyDescent="0.3">
      <c r="A150" s="629"/>
      <c r="B150" s="629"/>
      <c r="C150" s="622" t="s">
        <v>28</v>
      </c>
      <c r="D150" s="623"/>
      <c r="E150" s="83">
        <f>'100 g'!$I$7</f>
        <v>0</v>
      </c>
      <c r="F150" s="84">
        <f>'100 g'!$I$7+'100 g'!$I$8</f>
        <v>0</v>
      </c>
      <c r="G150" s="83">
        <f>'100 g'!$I$15</f>
        <v>0</v>
      </c>
      <c r="H150" s="85">
        <f>'100 g'!$I$10</f>
        <v>0</v>
      </c>
      <c r="I150" s="83">
        <f>'100 g'!$I$11</f>
        <v>0</v>
      </c>
      <c r="J150" s="85">
        <f>'100 g'!$I$16</f>
        <v>0</v>
      </c>
      <c r="L150" s="63" t="s">
        <v>353</v>
      </c>
      <c r="M150" s="618" t="s">
        <v>480</v>
      </c>
      <c r="N150" s="619"/>
    </row>
    <row r="151" spans="1:14" ht="24" customHeight="1" x14ac:dyDescent="0.3">
      <c r="A151" s="629"/>
      <c r="B151" s="629"/>
      <c r="C151" s="622" t="s">
        <v>28</v>
      </c>
      <c r="D151" s="623"/>
      <c r="E151" s="83">
        <f>'100 g'!$J$7</f>
        <v>0</v>
      </c>
      <c r="F151" s="84">
        <f>'100 g'!$J$7+'100 g'!$J$8</f>
        <v>0</v>
      </c>
      <c r="G151" s="83">
        <f>'100 g'!$J$15</f>
        <v>0</v>
      </c>
      <c r="H151" s="85">
        <f>'100 g'!$J$10</f>
        <v>0</v>
      </c>
      <c r="I151" s="83">
        <f>'100 g'!$J$11</f>
        <v>0</v>
      </c>
      <c r="J151" s="85">
        <f>'100 g'!$J$16</f>
        <v>0</v>
      </c>
      <c r="L151" s="63" t="s">
        <v>387</v>
      </c>
      <c r="M151" s="620" t="s">
        <v>355</v>
      </c>
      <c r="N151" s="620"/>
    </row>
    <row r="152" spans="1:14" ht="15.75" customHeight="1" x14ac:dyDescent="0.3">
      <c r="A152" s="629"/>
      <c r="B152" s="629"/>
      <c r="C152" s="622" t="s">
        <v>28</v>
      </c>
      <c r="D152" s="623"/>
      <c r="E152" s="83">
        <f>'100 g'!$K$7</f>
        <v>0</v>
      </c>
      <c r="F152" s="84">
        <f>'100 g'!$K$7+'100 g'!$K$8</f>
        <v>0</v>
      </c>
      <c r="G152" s="83">
        <f>'100 g'!$K$15</f>
        <v>0</v>
      </c>
      <c r="H152" s="85">
        <f>'100 g'!$K$10</f>
        <v>0</v>
      </c>
      <c r="I152" s="83">
        <f>'100 g'!$K$11</f>
        <v>0</v>
      </c>
      <c r="J152" s="85">
        <f>'100 g'!$K$16</f>
        <v>0</v>
      </c>
      <c r="L152" s="63" t="s">
        <v>388</v>
      </c>
      <c r="M152" s="621" t="s">
        <v>26</v>
      </c>
      <c r="N152" s="621"/>
    </row>
    <row r="153" spans="1:14" ht="19.5" customHeight="1" x14ac:dyDescent="0.3">
      <c r="A153" s="629"/>
      <c r="B153" s="629"/>
      <c r="C153" s="622" t="s">
        <v>28</v>
      </c>
      <c r="D153" s="623"/>
      <c r="E153" s="83">
        <f>'100 g'!$L$7</f>
        <v>0</v>
      </c>
      <c r="F153" s="84">
        <f>'100 g'!$L$7+'100 g'!$L$8</f>
        <v>0</v>
      </c>
      <c r="G153" s="83">
        <f>'100 g'!$L$15</f>
        <v>0</v>
      </c>
      <c r="H153" s="85">
        <f>'100 g'!$L$10</f>
        <v>0</v>
      </c>
      <c r="I153" s="83">
        <f>'100 g'!$L$11</f>
        <v>0</v>
      </c>
      <c r="J153" s="85">
        <f>'100 g'!$L$16</f>
        <v>0</v>
      </c>
    </row>
    <row r="154" spans="1:14" ht="20.25" customHeight="1" x14ac:dyDescent="0.3">
      <c r="A154" s="629"/>
      <c r="B154" s="629"/>
      <c r="C154" s="622" t="s">
        <v>28</v>
      </c>
      <c r="D154" s="623"/>
      <c r="E154" s="86">
        <f>'100 g'!$M$7</f>
        <v>0</v>
      </c>
      <c r="F154" s="87">
        <f>'100 g'!$M$7+'100 g'!$M$8</f>
        <v>0</v>
      </c>
      <c r="G154" s="85">
        <f>'100 g'!$M$15</f>
        <v>0</v>
      </c>
      <c r="H154" s="85">
        <f>'100 g'!$M$10</f>
        <v>0</v>
      </c>
      <c r="I154" s="83">
        <f>'100 g'!$M$11</f>
        <v>0</v>
      </c>
      <c r="J154" s="85">
        <f>'100 g'!$M$16</f>
        <v>0</v>
      </c>
    </row>
    <row r="155" spans="1:14" ht="27" customHeight="1" x14ac:dyDescent="0.3">
      <c r="A155" s="629"/>
      <c r="B155" s="629"/>
      <c r="C155" s="622" t="s">
        <v>28</v>
      </c>
      <c r="D155" s="623"/>
      <c r="E155" s="86">
        <f>'100 g'!$N$7</f>
        <v>0</v>
      </c>
      <c r="F155" s="87">
        <f>'100 g'!$N$7+'100 g'!$N$8</f>
        <v>0</v>
      </c>
      <c r="G155" s="85">
        <f>'100 g'!$N$15</f>
        <v>0</v>
      </c>
      <c r="H155" s="88">
        <f>'100 g'!$N$10</f>
        <v>0</v>
      </c>
      <c r="I155" s="83">
        <f>'100 g'!$N$11</f>
        <v>0</v>
      </c>
      <c r="J155" s="85">
        <f>'100 g'!$N$16</f>
        <v>0</v>
      </c>
    </row>
    <row r="156" spans="1:14" ht="22.5" customHeight="1" x14ac:dyDescent="0.3">
      <c r="A156" s="629"/>
      <c r="B156" s="629"/>
      <c r="C156" s="622" t="s">
        <v>28</v>
      </c>
      <c r="D156" s="623"/>
      <c r="E156" s="86">
        <f>'100 g'!$O$7</f>
        <v>0</v>
      </c>
      <c r="F156" s="87">
        <f>'100 g'!$O$7+'100 g'!$O$8</f>
        <v>0</v>
      </c>
      <c r="G156" s="85">
        <f>'100 g'!$O$15</f>
        <v>0</v>
      </c>
      <c r="H156" s="85">
        <f>'100 g'!$O$10</f>
        <v>0</v>
      </c>
      <c r="I156" s="85">
        <f>'100 g'!$O$11</f>
        <v>0</v>
      </c>
      <c r="J156" s="85">
        <f>'100 g'!$O$16</f>
        <v>0</v>
      </c>
    </row>
    <row r="157" spans="1:14" ht="27.75" customHeight="1" x14ac:dyDescent="0.3">
      <c r="A157" s="629"/>
      <c r="B157" s="629"/>
      <c r="C157" s="95" t="s">
        <v>378</v>
      </c>
      <c r="D157" s="570" t="s">
        <v>79</v>
      </c>
      <c r="E157" s="90">
        <f>'100 g'!$R$24</f>
        <v>200</v>
      </c>
      <c r="F157" s="91">
        <f>'100 g'!$R$24+'100 g'!$R$25</f>
        <v>200.00001599999999</v>
      </c>
      <c r="G157" s="101" t="s">
        <v>379</v>
      </c>
      <c r="H157" s="101" t="s">
        <v>380</v>
      </c>
      <c r="I157" s="101" t="s">
        <v>381</v>
      </c>
      <c r="J157" s="101" t="s">
        <v>382</v>
      </c>
    </row>
    <row r="158" spans="1:14" ht="27" customHeight="1" x14ac:dyDescent="0.3">
      <c r="A158" s="629"/>
      <c r="B158" s="629"/>
      <c r="C158" s="624" t="s">
        <v>363</v>
      </c>
      <c r="D158" s="625"/>
      <c r="E158" s="56">
        <v>0</v>
      </c>
      <c r="F158" s="57" t="s">
        <v>32</v>
      </c>
      <c r="G158" s="539" t="s">
        <v>205</v>
      </c>
      <c r="H158" s="539" t="s">
        <v>91</v>
      </c>
      <c r="I158" s="627" t="s">
        <v>739</v>
      </c>
      <c r="J158" s="627"/>
    </row>
    <row r="159" spans="1:14" ht="15" x14ac:dyDescent="0.3">
      <c r="A159" s="629"/>
      <c r="B159" s="629"/>
      <c r="C159" s="98" t="s">
        <v>364</v>
      </c>
      <c r="D159" s="89" t="s">
        <v>365</v>
      </c>
      <c r="E159" s="89" t="s">
        <v>366</v>
      </c>
      <c r="F159" s="89" t="s">
        <v>367</v>
      </c>
      <c r="G159" s="97" t="s">
        <v>384</v>
      </c>
      <c r="H159" s="97" t="s">
        <v>386</v>
      </c>
      <c r="I159" s="97" t="s">
        <v>383</v>
      </c>
      <c r="J159" s="97" t="s">
        <v>385</v>
      </c>
    </row>
    <row r="160" spans="1:14" x14ac:dyDescent="0.3">
      <c r="A160" s="629"/>
      <c r="B160" s="629"/>
      <c r="C160" s="99" t="s">
        <v>32</v>
      </c>
      <c r="D160" s="89" t="str">
        <f>C160</f>
        <v>g</v>
      </c>
      <c r="E160" s="89" t="str">
        <f>D160</f>
        <v>g</v>
      </c>
      <c r="F160" s="89" t="str">
        <f>E160</f>
        <v>g</v>
      </c>
      <c r="G160" s="61">
        <f>'100 g'!$C$8</f>
        <v>7700</v>
      </c>
      <c r="H160" s="61">
        <f>'100 g'!$C$17</f>
        <v>100</v>
      </c>
      <c r="I160" s="61">
        <f>'100 g'!$C$24</f>
        <v>0.1</v>
      </c>
      <c r="J160" s="61">
        <f>'100 g'!$C$29</f>
        <v>0.1</v>
      </c>
    </row>
    <row r="161" spans="1:14" x14ac:dyDescent="0.3">
      <c r="A161" s="629"/>
      <c r="B161" s="629"/>
      <c r="C161" s="107"/>
      <c r="D161" s="107"/>
      <c r="E161" s="108"/>
      <c r="F161" s="108"/>
      <c r="G161" s="66" t="s">
        <v>368</v>
      </c>
      <c r="H161" s="67" t="s">
        <v>369</v>
      </c>
      <c r="I161" s="67" t="s">
        <v>373</v>
      </c>
      <c r="J161" s="102"/>
    </row>
    <row r="162" spans="1:14" x14ac:dyDescent="0.3">
      <c r="A162" s="629"/>
      <c r="B162" s="629"/>
      <c r="C162" s="107"/>
      <c r="D162" s="107"/>
      <c r="E162" s="108"/>
      <c r="F162" s="108"/>
      <c r="G162" s="62" t="s">
        <v>370</v>
      </c>
      <c r="H162" s="52">
        <v>19.3</v>
      </c>
      <c r="I162" s="52">
        <v>19.399999999999999</v>
      </c>
      <c r="J162" s="69" t="s">
        <v>7</v>
      </c>
    </row>
    <row r="163" spans="1:14" x14ac:dyDescent="0.3">
      <c r="A163" s="629"/>
      <c r="B163" s="629"/>
      <c r="C163" s="107"/>
      <c r="D163" s="107"/>
      <c r="E163" s="108"/>
      <c r="F163" s="108"/>
      <c r="G163" s="62" t="s">
        <v>371</v>
      </c>
      <c r="H163" s="52">
        <v>55.6</v>
      </c>
      <c r="I163" s="54">
        <v>56.3</v>
      </c>
      <c r="J163" s="70" t="s">
        <v>42</v>
      </c>
    </row>
    <row r="164" spans="1:14" x14ac:dyDescent="0.3">
      <c r="A164" s="629"/>
      <c r="B164" s="629"/>
      <c r="C164" s="107"/>
      <c r="D164" s="107"/>
      <c r="E164" s="108"/>
      <c r="F164" s="108"/>
      <c r="G164" s="71" t="s">
        <v>372</v>
      </c>
      <c r="H164" s="52">
        <v>1001</v>
      </c>
      <c r="I164" s="52">
        <v>1001</v>
      </c>
      <c r="J164" s="72" t="s">
        <v>374</v>
      </c>
    </row>
    <row r="165" spans="1:14" x14ac:dyDescent="0.3">
      <c r="A165" s="55"/>
      <c r="B165" s="55"/>
      <c r="C165" s="55"/>
      <c r="D165" s="55"/>
      <c r="E165" s="55"/>
      <c r="F165" s="55"/>
      <c r="G165" s="55"/>
      <c r="H165" s="55"/>
      <c r="I165" s="55"/>
      <c r="J165" s="55"/>
    </row>
    <row r="166" spans="1:14" x14ac:dyDescent="0.3">
      <c r="A166" s="629">
        <v>10</v>
      </c>
      <c r="B166" s="629"/>
      <c r="C166" s="624" t="s">
        <v>360</v>
      </c>
      <c r="D166" s="626"/>
      <c r="E166" s="94" t="s">
        <v>376</v>
      </c>
      <c r="F166" s="94" t="s">
        <v>377</v>
      </c>
      <c r="G166" s="94" t="s">
        <v>16</v>
      </c>
      <c r="H166" s="94" t="s">
        <v>361</v>
      </c>
      <c r="I166" s="94" t="s">
        <v>362</v>
      </c>
      <c r="J166" s="94" t="s">
        <v>36</v>
      </c>
    </row>
    <row r="167" spans="1:14" ht="22.5" customHeight="1" x14ac:dyDescent="0.3">
      <c r="A167" s="629"/>
      <c r="B167" s="629"/>
      <c r="C167" s="622" t="s">
        <v>28</v>
      </c>
      <c r="D167" s="623"/>
      <c r="E167" s="83">
        <f>'200 g'!$I$7</f>
        <v>0</v>
      </c>
      <c r="F167" s="84">
        <f>'200 g'!$I$7+'200 g'!$I$8</f>
        <v>0</v>
      </c>
      <c r="G167" s="83">
        <f>'200 g'!$I$15</f>
        <v>0</v>
      </c>
      <c r="H167" s="85">
        <f>'200 g'!$I$10</f>
        <v>0</v>
      </c>
      <c r="I167" s="83">
        <f>'200 g'!$I$11</f>
        <v>0</v>
      </c>
      <c r="J167" s="85">
        <f>'200 g'!$I$16</f>
        <v>0</v>
      </c>
      <c r="L167" s="63" t="s">
        <v>353</v>
      </c>
      <c r="M167" s="618" t="s">
        <v>480</v>
      </c>
      <c r="N167" s="619"/>
    </row>
    <row r="168" spans="1:14" ht="23.25" customHeight="1" x14ac:dyDescent="0.3">
      <c r="A168" s="629"/>
      <c r="B168" s="629"/>
      <c r="C168" s="622" t="s">
        <v>28</v>
      </c>
      <c r="D168" s="623"/>
      <c r="E168" s="83">
        <f>'200 g'!$J$7</f>
        <v>0</v>
      </c>
      <c r="F168" s="84">
        <f>'200 g'!$J$7+'200 g'!$J$8</f>
        <v>0</v>
      </c>
      <c r="G168" s="83">
        <f>'200 g'!$J$15</f>
        <v>0</v>
      </c>
      <c r="H168" s="85">
        <f>'200 g'!$J$10</f>
        <v>0</v>
      </c>
      <c r="I168" s="83">
        <f>'200 g'!$J$11</f>
        <v>0</v>
      </c>
      <c r="J168" s="85">
        <f>'200 g'!$J$16</f>
        <v>0</v>
      </c>
      <c r="L168" s="63" t="s">
        <v>387</v>
      </c>
      <c r="M168" s="620" t="s">
        <v>355</v>
      </c>
      <c r="N168" s="620"/>
    </row>
    <row r="169" spans="1:14" ht="17.25" customHeight="1" x14ac:dyDescent="0.3">
      <c r="A169" s="629"/>
      <c r="B169" s="629"/>
      <c r="C169" s="622" t="s">
        <v>28</v>
      </c>
      <c r="D169" s="623"/>
      <c r="E169" s="83">
        <f>'200 g'!$K$7</f>
        <v>0</v>
      </c>
      <c r="F169" s="84">
        <f>'200 g'!$K$7+'200 g'!$K$8</f>
        <v>0</v>
      </c>
      <c r="G169" s="83">
        <f>'200 g'!$K$15</f>
        <v>0</v>
      </c>
      <c r="H169" s="85">
        <f>'200 g'!$K$10</f>
        <v>0</v>
      </c>
      <c r="I169" s="83">
        <f>'200 g'!$K$11</f>
        <v>0</v>
      </c>
      <c r="J169" s="85">
        <f>'200 g'!$K$16</f>
        <v>0</v>
      </c>
      <c r="L169" s="63" t="s">
        <v>388</v>
      </c>
      <c r="M169" s="621" t="s">
        <v>26</v>
      </c>
      <c r="N169" s="621"/>
    </row>
    <row r="170" spans="1:14" ht="20.25" customHeight="1" x14ac:dyDescent="0.3">
      <c r="A170" s="629"/>
      <c r="B170" s="629"/>
      <c r="C170" s="622" t="s">
        <v>28</v>
      </c>
      <c r="D170" s="623"/>
      <c r="E170" s="83">
        <f>'200 g'!$L$7</f>
        <v>0</v>
      </c>
      <c r="F170" s="84">
        <f>'200 g'!$L$7+'200 g'!$L$8</f>
        <v>0</v>
      </c>
      <c r="G170" s="83">
        <f>'200 g'!$L$15</f>
        <v>0</v>
      </c>
      <c r="H170" s="85">
        <f>'200 g'!$L$10</f>
        <v>0</v>
      </c>
      <c r="I170" s="83">
        <f>'200 g'!$L$11</f>
        <v>0</v>
      </c>
      <c r="J170" s="85">
        <f>'200 g'!$L$16</f>
        <v>0</v>
      </c>
    </row>
    <row r="171" spans="1:14" ht="21.75" customHeight="1" x14ac:dyDescent="0.3">
      <c r="A171" s="629"/>
      <c r="B171" s="629"/>
      <c r="C171" s="622" t="s">
        <v>28</v>
      </c>
      <c r="D171" s="623"/>
      <c r="E171" s="86">
        <f>'200 g'!$M$7</f>
        <v>0</v>
      </c>
      <c r="F171" s="87">
        <f>'200 g'!$M$7+'200 g'!$M$8</f>
        <v>0</v>
      </c>
      <c r="G171" s="85">
        <f>'200 g'!$M$15</f>
        <v>0</v>
      </c>
      <c r="H171" s="85">
        <f>'200 g'!$M$10</f>
        <v>0</v>
      </c>
      <c r="I171" s="83">
        <f>'200 g'!$M$11</f>
        <v>0</v>
      </c>
      <c r="J171" s="85">
        <f>'200 g'!$M$16</f>
        <v>0</v>
      </c>
    </row>
    <row r="172" spans="1:14" ht="22.5" customHeight="1" x14ac:dyDescent="0.3">
      <c r="A172" s="629"/>
      <c r="B172" s="629"/>
      <c r="C172" s="622" t="s">
        <v>28</v>
      </c>
      <c r="D172" s="623"/>
      <c r="E172" s="86">
        <f>'200 g'!$N$7</f>
        <v>0</v>
      </c>
      <c r="F172" s="87">
        <f>'200 g'!$N$7+'200 g'!$N$8</f>
        <v>0</v>
      </c>
      <c r="G172" s="85">
        <f>'200 g'!$N$15</f>
        <v>0</v>
      </c>
      <c r="H172" s="88">
        <f>'200 g'!$N$10</f>
        <v>0</v>
      </c>
      <c r="I172" s="83">
        <f>'200 g'!$N$11</f>
        <v>0</v>
      </c>
      <c r="J172" s="85">
        <f>'200 g'!$N$16</f>
        <v>0</v>
      </c>
    </row>
    <row r="173" spans="1:14" ht="19.5" customHeight="1" x14ac:dyDescent="0.3">
      <c r="A173" s="629"/>
      <c r="B173" s="629"/>
      <c r="C173" s="622" t="s">
        <v>28</v>
      </c>
      <c r="D173" s="623"/>
      <c r="E173" s="86">
        <f>'200 g'!$O$7</f>
        <v>0</v>
      </c>
      <c r="F173" s="87">
        <f>'200 g'!$O$7+'200 g'!$O$8</f>
        <v>0</v>
      </c>
      <c r="G173" s="85">
        <f>'200 g'!$O$15</f>
        <v>0</v>
      </c>
      <c r="H173" s="85">
        <f>'200 g'!$O$10</f>
        <v>0</v>
      </c>
      <c r="I173" s="85">
        <f>'200 g'!$O$11</f>
        <v>0</v>
      </c>
      <c r="J173" s="85">
        <f>'200 g'!$O$16</f>
        <v>0</v>
      </c>
    </row>
    <row r="174" spans="1:14" ht="27.75" customHeight="1" x14ac:dyDescent="0.3">
      <c r="A174" s="629"/>
      <c r="B174" s="629"/>
      <c r="C174" s="95" t="s">
        <v>378</v>
      </c>
      <c r="D174" s="570" t="s">
        <v>79</v>
      </c>
      <c r="E174" s="90">
        <f>'200 g'!$R$24</f>
        <v>200</v>
      </c>
      <c r="F174" s="91">
        <f>'200 g'!$R$24+'200 g'!$R$25</f>
        <v>200.00001599999999</v>
      </c>
      <c r="G174" s="101" t="s">
        <v>379</v>
      </c>
      <c r="H174" s="101" t="s">
        <v>380</v>
      </c>
      <c r="I174" s="101" t="s">
        <v>381</v>
      </c>
      <c r="J174" s="101" t="s">
        <v>382</v>
      </c>
    </row>
    <row r="175" spans="1:14" ht="27" customHeight="1" x14ac:dyDescent="0.3">
      <c r="A175" s="629"/>
      <c r="B175" s="629"/>
      <c r="C175" s="624" t="s">
        <v>363</v>
      </c>
      <c r="D175" s="625"/>
      <c r="E175" s="56">
        <v>0</v>
      </c>
      <c r="F175" s="57" t="s">
        <v>782</v>
      </c>
      <c r="G175" s="539" t="s">
        <v>205</v>
      </c>
      <c r="H175" s="539" t="s">
        <v>91</v>
      </c>
      <c r="I175" s="627" t="s">
        <v>739</v>
      </c>
      <c r="J175" s="627"/>
    </row>
    <row r="176" spans="1:14" ht="15" x14ac:dyDescent="0.3">
      <c r="A176" s="629"/>
      <c r="B176" s="629"/>
      <c r="C176" s="98" t="s">
        <v>364</v>
      </c>
      <c r="D176" s="89" t="s">
        <v>365</v>
      </c>
      <c r="E176" s="89" t="s">
        <v>366</v>
      </c>
      <c r="F176" s="89" t="s">
        <v>367</v>
      </c>
      <c r="G176" s="97" t="s">
        <v>384</v>
      </c>
      <c r="H176" s="97" t="s">
        <v>386</v>
      </c>
      <c r="I176" s="97" t="s">
        <v>383</v>
      </c>
      <c r="J176" s="97" t="s">
        <v>385</v>
      </c>
    </row>
    <row r="177" spans="1:14" x14ac:dyDescent="0.3">
      <c r="A177" s="629"/>
      <c r="B177" s="629"/>
      <c r="C177" s="99" t="s">
        <v>32</v>
      </c>
      <c r="D177" s="89" t="str">
        <f>C177</f>
        <v>g</v>
      </c>
      <c r="E177" s="89" t="str">
        <f>D177</f>
        <v>g</v>
      </c>
      <c r="F177" s="89" t="str">
        <f>E177</f>
        <v>g</v>
      </c>
      <c r="G177" s="61">
        <f>'200 g'!$C$8</f>
        <v>7700</v>
      </c>
      <c r="H177" s="61">
        <f>'200 g'!$C$17</f>
        <v>100</v>
      </c>
      <c r="I177" s="61">
        <f>'200 g'!$C$24</f>
        <v>0.1</v>
      </c>
      <c r="J177" s="61">
        <f>'200 g'!$C$29</f>
        <v>0.1</v>
      </c>
    </row>
    <row r="178" spans="1:14" x14ac:dyDescent="0.3">
      <c r="A178" s="629"/>
      <c r="B178" s="629"/>
      <c r="C178" s="111"/>
      <c r="D178" s="111"/>
      <c r="E178" s="112"/>
      <c r="F178" s="112"/>
      <c r="G178" s="66" t="s">
        <v>368</v>
      </c>
      <c r="H178" s="67" t="s">
        <v>369</v>
      </c>
      <c r="I178" s="67" t="s">
        <v>373</v>
      </c>
      <c r="J178" s="102"/>
    </row>
    <row r="179" spans="1:14" x14ac:dyDescent="0.3">
      <c r="A179" s="629"/>
      <c r="B179" s="629"/>
      <c r="C179" s="111"/>
      <c r="D179" s="111"/>
      <c r="E179" s="112"/>
      <c r="F179" s="112"/>
      <c r="G179" s="62" t="s">
        <v>370</v>
      </c>
      <c r="H179" s="52">
        <v>20.6</v>
      </c>
      <c r="I179" s="52">
        <v>20.7</v>
      </c>
      <c r="J179" s="69" t="s">
        <v>7</v>
      </c>
    </row>
    <row r="180" spans="1:14" x14ac:dyDescent="0.3">
      <c r="A180" s="629"/>
      <c r="B180" s="629"/>
      <c r="C180" s="111"/>
      <c r="D180" s="111"/>
      <c r="E180" s="112"/>
      <c r="F180" s="112"/>
      <c r="G180" s="62" t="s">
        <v>371</v>
      </c>
      <c r="H180" s="52">
        <v>64.599999999999994</v>
      </c>
      <c r="I180" s="54">
        <v>64.599999999999994</v>
      </c>
      <c r="J180" s="70" t="s">
        <v>42</v>
      </c>
    </row>
    <row r="181" spans="1:14" x14ac:dyDescent="0.3">
      <c r="A181" s="629"/>
      <c r="B181" s="629"/>
      <c r="C181" s="111"/>
      <c r="D181" s="111"/>
      <c r="E181" s="112"/>
      <c r="F181" s="112"/>
      <c r="G181" s="71" t="s">
        <v>372</v>
      </c>
      <c r="H181" s="52">
        <v>1001</v>
      </c>
      <c r="I181" s="53">
        <v>1002</v>
      </c>
      <c r="J181" s="72" t="s">
        <v>374</v>
      </c>
    </row>
    <row r="182" spans="1:14" x14ac:dyDescent="0.3">
      <c r="A182" s="55"/>
      <c r="B182" s="55"/>
      <c r="C182" s="55"/>
      <c r="D182" s="55"/>
      <c r="E182" s="55"/>
      <c r="F182" s="55"/>
      <c r="G182" s="55"/>
      <c r="H182" s="55"/>
      <c r="I182" s="55"/>
      <c r="J182" s="55"/>
    </row>
    <row r="183" spans="1:14" x14ac:dyDescent="0.3">
      <c r="A183" s="629">
        <v>11</v>
      </c>
      <c r="B183" s="629"/>
      <c r="C183" s="624" t="s">
        <v>360</v>
      </c>
      <c r="D183" s="626"/>
      <c r="E183" s="94" t="s">
        <v>376</v>
      </c>
      <c r="F183" s="94" t="s">
        <v>377</v>
      </c>
      <c r="G183" s="94" t="s">
        <v>16</v>
      </c>
      <c r="H183" s="94" t="s">
        <v>361</v>
      </c>
      <c r="I183" s="94" t="s">
        <v>362</v>
      </c>
      <c r="J183" s="94" t="s">
        <v>36</v>
      </c>
    </row>
    <row r="184" spans="1:14" ht="19.5" customHeight="1" x14ac:dyDescent="0.3">
      <c r="A184" s="629"/>
      <c r="B184" s="629"/>
      <c r="C184" s="622" t="s">
        <v>28</v>
      </c>
      <c r="D184" s="623"/>
      <c r="E184" s="83">
        <f>'200 g.'!$I$7</f>
        <v>0</v>
      </c>
      <c r="F184" s="84">
        <f>'200 g.'!$I$7+'200 g.'!$I$8</f>
        <v>0</v>
      </c>
      <c r="G184" s="83">
        <f>'200 g.'!$I$15</f>
        <v>0</v>
      </c>
      <c r="H184" s="85">
        <f>'200 g.'!$I$10</f>
        <v>0</v>
      </c>
      <c r="I184" s="83">
        <f>'200 g.'!$I$11</f>
        <v>0</v>
      </c>
      <c r="J184" s="85">
        <f>'200 g.'!$I$16</f>
        <v>0</v>
      </c>
      <c r="L184" s="63" t="s">
        <v>353</v>
      </c>
      <c r="M184" s="618" t="s">
        <v>480</v>
      </c>
      <c r="N184" s="619"/>
    </row>
    <row r="185" spans="1:14" ht="20.25" customHeight="1" x14ac:dyDescent="0.3">
      <c r="A185" s="629"/>
      <c r="B185" s="629"/>
      <c r="C185" s="622" t="s">
        <v>28</v>
      </c>
      <c r="D185" s="623"/>
      <c r="E185" s="83">
        <f>'200 g.'!$J$7</f>
        <v>0</v>
      </c>
      <c r="F185" s="84">
        <f>'200 g.'!$J$7+'200 g.'!$J$8</f>
        <v>0</v>
      </c>
      <c r="G185" s="83">
        <f>'200 g.'!$J$15</f>
        <v>0</v>
      </c>
      <c r="H185" s="85">
        <f>'200 g.'!$J$10</f>
        <v>0</v>
      </c>
      <c r="I185" s="83">
        <f>'200 g.'!$J$11</f>
        <v>0</v>
      </c>
      <c r="J185" s="85">
        <f>'200 g.'!$J$16</f>
        <v>0</v>
      </c>
      <c r="L185" s="63" t="s">
        <v>387</v>
      </c>
      <c r="M185" s="620" t="s">
        <v>355</v>
      </c>
      <c r="N185" s="620"/>
    </row>
    <row r="186" spans="1:14" ht="19.5" customHeight="1" x14ac:dyDescent="0.3">
      <c r="A186" s="629"/>
      <c r="B186" s="629"/>
      <c r="C186" s="622" t="s">
        <v>28</v>
      </c>
      <c r="D186" s="623"/>
      <c r="E186" s="83">
        <f>'200 g.'!$K$7</f>
        <v>0</v>
      </c>
      <c r="F186" s="84">
        <f>'200 g.'!$K$7+'200 g.'!$K$8</f>
        <v>0</v>
      </c>
      <c r="G186" s="83">
        <f>'200 g.'!$K$15</f>
        <v>0</v>
      </c>
      <c r="H186" s="85">
        <f>'200 g.'!$K$10</f>
        <v>0</v>
      </c>
      <c r="I186" s="83">
        <f>'200 g.'!$K$11</f>
        <v>0</v>
      </c>
      <c r="J186" s="85">
        <f>'200 g.'!$K$16</f>
        <v>0</v>
      </c>
      <c r="L186" s="63" t="s">
        <v>388</v>
      </c>
      <c r="M186" s="621" t="s">
        <v>26</v>
      </c>
      <c r="N186" s="621"/>
    </row>
    <row r="187" spans="1:14" ht="18" customHeight="1" x14ac:dyDescent="0.3">
      <c r="A187" s="629"/>
      <c r="B187" s="629"/>
      <c r="C187" s="622" t="s">
        <v>28</v>
      </c>
      <c r="D187" s="623"/>
      <c r="E187" s="83">
        <f>'200 g.'!$L$7</f>
        <v>0</v>
      </c>
      <c r="F187" s="84">
        <f>'200 g.'!$L$7+'200 g.'!$L$8</f>
        <v>0</v>
      </c>
      <c r="G187" s="83">
        <f>'200 g.'!$L$15</f>
        <v>0</v>
      </c>
      <c r="H187" s="85">
        <f>'200 g.'!$L$10</f>
        <v>0</v>
      </c>
      <c r="I187" s="83">
        <f>'200 g.'!$L$11</f>
        <v>0</v>
      </c>
      <c r="J187" s="85">
        <f>'200 g.'!$L$16</f>
        <v>0</v>
      </c>
    </row>
    <row r="188" spans="1:14" ht="19.5" customHeight="1" x14ac:dyDescent="0.3">
      <c r="A188" s="629"/>
      <c r="B188" s="629"/>
      <c r="C188" s="622" t="s">
        <v>28</v>
      </c>
      <c r="D188" s="623"/>
      <c r="E188" s="86">
        <f>'200 g.'!$M$7</f>
        <v>0</v>
      </c>
      <c r="F188" s="87">
        <f>'200 g.'!$M$7+'200 g.'!$M$8</f>
        <v>0</v>
      </c>
      <c r="G188" s="85">
        <f>'200 g.'!$M$15</f>
        <v>0</v>
      </c>
      <c r="H188" s="85">
        <f>'200 g.'!$M$10</f>
        <v>0</v>
      </c>
      <c r="I188" s="83">
        <f>'200 g.'!$M$11</f>
        <v>0</v>
      </c>
      <c r="J188" s="85">
        <f>'200 g.'!$M$16</f>
        <v>0</v>
      </c>
    </row>
    <row r="189" spans="1:14" ht="24" customHeight="1" x14ac:dyDescent="0.3">
      <c r="A189" s="629"/>
      <c r="B189" s="629"/>
      <c r="C189" s="622" t="s">
        <v>28</v>
      </c>
      <c r="D189" s="623"/>
      <c r="E189" s="86">
        <f>'200 g.'!$N$7</f>
        <v>0</v>
      </c>
      <c r="F189" s="87">
        <f>'200 g.'!$N$7+'200 g.'!$N$8</f>
        <v>0</v>
      </c>
      <c r="G189" s="85">
        <f>'200 g.'!$N$15</f>
        <v>0</v>
      </c>
      <c r="H189" s="88">
        <f>'200 g.'!$N$10</f>
        <v>0</v>
      </c>
      <c r="I189" s="83">
        <f>'200 g.'!$N$11</f>
        <v>0</v>
      </c>
      <c r="J189" s="85">
        <f>'200 g.'!$N$16</f>
        <v>0</v>
      </c>
    </row>
    <row r="190" spans="1:14" ht="23.25" customHeight="1" x14ac:dyDescent="0.3">
      <c r="A190" s="629"/>
      <c r="B190" s="629"/>
      <c r="C190" s="622" t="s">
        <v>28</v>
      </c>
      <c r="D190" s="623"/>
      <c r="E190" s="86">
        <f>'200 g.'!$O$7</f>
        <v>0</v>
      </c>
      <c r="F190" s="87">
        <f>'200 g.'!$O$7+'200 g.'!$O$8</f>
        <v>0</v>
      </c>
      <c r="G190" s="85">
        <f>'200 g.'!$O$15</f>
        <v>0</v>
      </c>
      <c r="H190" s="85">
        <f>'200 g.'!$O$10</f>
        <v>0</v>
      </c>
      <c r="I190" s="85">
        <f>'200 g.'!$O$11</f>
        <v>0</v>
      </c>
      <c r="J190" s="85">
        <f>'200 g.'!$O$16</f>
        <v>0</v>
      </c>
    </row>
    <row r="191" spans="1:14" ht="26.25" customHeight="1" x14ac:dyDescent="0.3">
      <c r="A191" s="629"/>
      <c r="B191" s="629"/>
      <c r="C191" s="95" t="s">
        <v>378</v>
      </c>
      <c r="D191" s="570" t="s">
        <v>79</v>
      </c>
      <c r="E191" s="90">
        <f>'200 g.'!$R$24</f>
        <v>200</v>
      </c>
      <c r="F191" s="91">
        <f>'200 g.'!$R$24+'200 g.'!$R$25</f>
        <v>200.00001599999999</v>
      </c>
      <c r="G191" s="101" t="s">
        <v>379</v>
      </c>
      <c r="H191" s="101" t="s">
        <v>380</v>
      </c>
      <c r="I191" s="101" t="s">
        <v>381</v>
      </c>
      <c r="J191" s="101" t="s">
        <v>382</v>
      </c>
    </row>
    <row r="192" spans="1:14" ht="21" customHeight="1" x14ac:dyDescent="0.3">
      <c r="A192" s="629"/>
      <c r="B192" s="629"/>
      <c r="C192" s="624" t="s">
        <v>363</v>
      </c>
      <c r="D192" s="625"/>
      <c r="E192" s="56">
        <v>0</v>
      </c>
      <c r="F192" s="57" t="s">
        <v>782</v>
      </c>
      <c r="G192" s="539" t="s">
        <v>205</v>
      </c>
      <c r="H192" s="539" t="s">
        <v>91</v>
      </c>
      <c r="I192" s="627" t="s">
        <v>739</v>
      </c>
      <c r="J192" s="627"/>
    </row>
    <row r="193" spans="1:14" ht="15" customHeight="1" x14ac:dyDescent="0.3">
      <c r="A193" s="629"/>
      <c r="B193" s="629"/>
      <c r="C193" s="98" t="s">
        <v>364</v>
      </c>
      <c r="D193" s="89" t="s">
        <v>365</v>
      </c>
      <c r="E193" s="89" t="s">
        <v>366</v>
      </c>
      <c r="F193" s="89" t="s">
        <v>367</v>
      </c>
      <c r="G193" s="97" t="s">
        <v>384</v>
      </c>
      <c r="H193" s="97" t="s">
        <v>386</v>
      </c>
      <c r="I193" s="97" t="s">
        <v>383</v>
      </c>
      <c r="J193" s="97" t="s">
        <v>385</v>
      </c>
    </row>
    <row r="194" spans="1:14" x14ac:dyDescent="0.3">
      <c r="A194" s="629"/>
      <c r="B194" s="629"/>
      <c r="C194" s="99" t="s">
        <v>32</v>
      </c>
      <c r="D194" s="89" t="str">
        <f>C194</f>
        <v>g</v>
      </c>
      <c r="E194" s="89" t="str">
        <f>D194</f>
        <v>g</v>
      </c>
      <c r="F194" s="89" t="str">
        <f>E194</f>
        <v>g</v>
      </c>
      <c r="G194" s="61">
        <f>'200 g.'!$C$8</f>
        <v>7700</v>
      </c>
      <c r="H194" s="61">
        <f>'200 g.'!$C$17</f>
        <v>100</v>
      </c>
      <c r="I194" s="61">
        <f>'200 g.'!$C$24</f>
        <v>0.1</v>
      </c>
      <c r="J194" s="61">
        <f>'200 g.'!$C$29</f>
        <v>0.1</v>
      </c>
    </row>
    <row r="195" spans="1:14" x14ac:dyDescent="0.3">
      <c r="A195" s="629"/>
      <c r="B195" s="629"/>
      <c r="C195" s="111"/>
      <c r="D195" s="111"/>
      <c r="E195" s="112"/>
      <c r="F195" s="112"/>
      <c r="G195" s="66" t="s">
        <v>368</v>
      </c>
      <c r="H195" s="67" t="s">
        <v>369</v>
      </c>
      <c r="I195" s="67" t="s">
        <v>373</v>
      </c>
      <c r="J195" s="102"/>
    </row>
    <row r="196" spans="1:14" x14ac:dyDescent="0.3">
      <c r="A196" s="629"/>
      <c r="B196" s="629"/>
      <c r="C196" s="111"/>
      <c r="D196" s="111"/>
      <c r="E196" s="112"/>
      <c r="F196" s="112"/>
      <c r="G196" s="62" t="s">
        <v>370</v>
      </c>
      <c r="H196" s="52">
        <v>19.600000000000001</v>
      </c>
      <c r="I196" s="52">
        <v>19.5</v>
      </c>
      <c r="J196" s="69" t="s">
        <v>7</v>
      </c>
    </row>
    <row r="197" spans="1:14" x14ac:dyDescent="0.3">
      <c r="A197" s="629"/>
      <c r="B197" s="629"/>
      <c r="C197" s="111"/>
      <c r="D197" s="111"/>
      <c r="E197" s="112"/>
      <c r="F197" s="112"/>
      <c r="G197" s="62" t="s">
        <v>371</v>
      </c>
      <c r="H197" s="52">
        <v>53.5</v>
      </c>
      <c r="I197" s="54">
        <v>54.6</v>
      </c>
      <c r="J197" s="70" t="s">
        <v>42</v>
      </c>
    </row>
    <row r="198" spans="1:14" x14ac:dyDescent="0.3">
      <c r="A198" s="629"/>
      <c r="B198" s="629"/>
      <c r="C198" s="111"/>
      <c r="D198" s="111"/>
      <c r="E198" s="112"/>
      <c r="F198" s="112"/>
      <c r="G198" s="71" t="s">
        <v>372</v>
      </c>
      <c r="H198" s="52">
        <v>1001</v>
      </c>
      <c r="I198" s="52">
        <v>1001</v>
      </c>
      <c r="J198" s="72" t="s">
        <v>374</v>
      </c>
    </row>
    <row r="199" spans="1:14" x14ac:dyDescent="0.3">
      <c r="A199" s="55"/>
      <c r="B199" s="55"/>
      <c r="C199" s="55"/>
      <c r="D199" s="55"/>
      <c r="E199" s="55"/>
      <c r="F199" s="55"/>
      <c r="G199" s="55"/>
      <c r="H199" s="55"/>
      <c r="I199" s="55"/>
      <c r="J199" s="55"/>
    </row>
    <row r="200" spans="1:14" x14ac:dyDescent="0.3">
      <c r="A200" s="629">
        <v>12</v>
      </c>
      <c r="B200" s="629"/>
      <c r="C200" s="624" t="s">
        <v>360</v>
      </c>
      <c r="D200" s="626"/>
      <c r="E200" s="94" t="s">
        <v>376</v>
      </c>
      <c r="F200" s="94" t="s">
        <v>377</v>
      </c>
      <c r="G200" s="94" t="s">
        <v>16</v>
      </c>
      <c r="H200" s="94" t="s">
        <v>361</v>
      </c>
      <c r="I200" s="94" t="s">
        <v>362</v>
      </c>
      <c r="J200" s="94" t="s">
        <v>36</v>
      </c>
    </row>
    <row r="201" spans="1:14" ht="24.75" customHeight="1" x14ac:dyDescent="0.3">
      <c r="A201" s="629"/>
      <c r="B201" s="629"/>
      <c r="C201" s="622" t="s">
        <v>28</v>
      </c>
      <c r="D201" s="623"/>
      <c r="E201" s="83">
        <f>'500 g'!$I$7</f>
        <v>0</v>
      </c>
      <c r="F201" s="84">
        <f>'500 g'!$I$7+'500 g'!$I$8</f>
        <v>0</v>
      </c>
      <c r="G201" s="83">
        <f>'500 g'!$I$15</f>
        <v>0</v>
      </c>
      <c r="H201" s="85">
        <f>'500 g'!$I$10</f>
        <v>0</v>
      </c>
      <c r="I201" s="83">
        <f>'500 g'!$I$11</f>
        <v>0</v>
      </c>
      <c r="J201" s="85">
        <f>'500 g'!$I$16</f>
        <v>0</v>
      </c>
      <c r="L201" s="63" t="s">
        <v>353</v>
      </c>
      <c r="M201" s="618" t="s">
        <v>480</v>
      </c>
      <c r="N201" s="619"/>
    </row>
    <row r="202" spans="1:14" ht="27" customHeight="1" x14ac:dyDescent="0.3">
      <c r="A202" s="629"/>
      <c r="B202" s="629"/>
      <c r="C202" s="622" t="s">
        <v>28</v>
      </c>
      <c r="D202" s="623"/>
      <c r="E202" s="83">
        <f>'500 g'!$J$7</f>
        <v>0</v>
      </c>
      <c r="F202" s="84">
        <f>'500 g'!$J$7+'500 g'!$J$8</f>
        <v>0</v>
      </c>
      <c r="G202" s="83">
        <f>'500 g'!$J$15</f>
        <v>0</v>
      </c>
      <c r="H202" s="85">
        <f>'500 g'!$J$10</f>
        <v>0</v>
      </c>
      <c r="I202" s="83">
        <f>'500 g'!$J$11</f>
        <v>0</v>
      </c>
      <c r="J202" s="85">
        <f>'500 g'!$J$16</f>
        <v>0</v>
      </c>
      <c r="L202" s="63" t="s">
        <v>387</v>
      </c>
      <c r="M202" s="620" t="s">
        <v>355</v>
      </c>
      <c r="N202" s="620"/>
    </row>
    <row r="203" spans="1:14" ht="18.75" customHeight="1" x14ac:dyDescent="0.3">
      <c r="A203" s="629"/>
      <c r="B203" s="629"/>
      <c r="C203" s="622" t="s">
        <v>28</v>
      </c>
      <c r="D203" s="623"/>
      <c r="E203" s="83">
        <f>'500 g'!$K$7</f>
        <v>0</v>
      </c>
      <c r="F203" s="84">
        <f>'500 g'!$K$7+'500 g'!$K$8</f>
        <v>0</v>
      </c>
      <c r="G203" s="83">
        <f>'500 g'!$K$15</f>
        <v>0</v>
      </c>
      <c r="H203" s="85">
        <f>'500 g'!$K$10</f>
        <v>0</v>
      </c>
      <c r="I203" s="83">
        <f>'500 g'!$K$11</f>
        <v>0</v>
      </c>
      <c r="J203" s="85">
        <f>'500 g'!$K$16</f>
        <v>0</v>
      </c>
      <c r="L203" s="63" t="s">
        <v>388</v>
      </c>
      <c r="M203" s="621" t="s">
        <v>26</v>
      </c>
      <c r="N203" s="621"/>
    </row>
    <row r="204" spans="1:14" ht="20.25" customHeight="1" x14ac:dyDescent="0.3">
      <c r="A204" s="629"/>
      <c r="B204" s="629"/>
      <c r="C204" s="622" t="s">
        <v>28</v>
      </c>
      <c r="D204" s="623"/>
      <c r="E204" s="83">
        <f>'500 g'!$L$7</f>
        <v>0</v>
      </c>
      <c r="F204" s="84">
        <f>'500 g'!$L$7+'500 g'!$L$8</f>
        <v>0</v>
      </c>
      <c r="G204" s="83">
        <f>'500 g'!$L$15</f>
        <v>0</v>
      </c>
      <c r="H204" s="85">
        <f>'500 g'!$L$10</f>
        <v>0</v>
      </c>
      <c r="I204" s="83">
        <f>'500 g'!$L$11</f>
        <v>0</v>
      </c>
      <c r="J204" s="85">
        <f>'500 g'!$L$16</f>
        <v>0</v>
      </c>
    </row>
    <row r="205" spans="1:14" ht="20.25" customHeight="1" x14ac:dyDescent="0.3">
      <c r="A205" s="629"/>
      <c r="B205" s="629"/>
      <c r="C205" s="622" t="s">
        <v>28</v>
      </c>
      <c r="D205" s="623"/>
      <c r="E205" s="86">
        <f>'500 g'!$M$7</f>
        <v>0</v>
      </c>
      <c r="F205" s="87">
        <f>'500 g'!$M$7+'500 g'!$M$8</f>
        <v>0</v>
      </c>
      <c r="G205" s="85">
        <f>'500 g'!$M$15</f>
        <v>0</v>
      </c>
      <c r="H205" s="85">
        <f>'500 g'!$M$10</f>
        <v>0</v>
      </c>
      <c r="I205" s="83">
        <f>'500 g'!$M$11</f>
        <v>0</v>
      </c>
      <c r="J205" s="85">
        <f>'500 g'!$M$16</f>
        <v>0</v>
      </c>
    </row>
    <row r="206" spans="1:14" ht="24" customHeight="1" x14ac:dyDescent="0.3">
      <c r="A206" s="629"/>
      <c r="B206" s="629"/>
      <c r="C206" s="622" t="s">
        <v>28</v>
      </c>
      <c r="D206" s="623"/>
      <c r="E206" s="86">
        <f>'500 g'!$N$7</f>
        <v>0</v>
      </c>
      <c r="F206" s="87">
        <f>'500 g'!$N$7+'500 g'!$N$8</f>
        <v>0</v>
      </c>
      <c r="G206" s="85">
        <f>'500 g'!$N$15</f>
        <v>0</v>
      </c>
      <c r="H206" s="88">
        <f>'500 g'!$N$10</f>
        <v>0</v>
      </c>
      <c r="I206" s="83">
        <f>'500 g'!$N$11</f>
        <v>0</v>
      </c>
      <c r="J206" s="85">
        <f>'500 g'!$N$16</f>
        <v>0</v>
      </c>
    </row>
    <row r="207" spans="1:14" ht="22.5" customHeight="1" x14ac:dyDescent="0.3">
      <c r="A207" s="629"/>
      <c r="B207" s="629"/>
      <c r="C207" s="622" t="s">
        <v>28</v>
      </c>
      <c r="D207" s="623"/>
      <c r="E207" s="86">
        <f>'500 g'!$O$7</f>
        <v>0</v>
      </c>
      <c r="F207" s="87">
        <f>'500 g'!$O$7+'500 g'!$O$8</f>
        <v>0</v>
      </c>
      <c r="G207" s="85">
        <f>'500 g'!$O$15</f>
        <v>0</v>
      </c>
      <c r="H207" s="85">
        <f>'500 g'!$O$10</f>
        <v>0</v>
      </c>
      <c r="I207" s="85">
        <f>'500 g'!$O$11</f>
        <v>0</v>
      </c>
      <c r="J207" s="85">
        <f>'500 g'!$O$16</f>
        <v>0</v>
      </c>
    </row>
    <row r="208" spans="1:14" ht="27" customHeight="1" x14ac:dyDescent="0.3">
      <c r="A208" s="629"/>
      <c r="B208" s="629"/>
      <c r="C208" s="95" t="s">
        <v>378</v>
      </c>
      <c r="D208" s="570" t="s">
        <v>79</v>
      </c>
      <c r="E208" s="90">
        <f>'500 g'!$R$24</f>
        <v>200</v>
      </c>
      <c r="F208" s="91">
        <f>'500 g'!$R$24+'500 g'!$R$25</f>
        <v>200.00001599999999</v>
      </c>
      <c r="G208" s="101" t="s">
        <v>379</v>
      </c>
      <c r="H208" s="101" t="s">
        <v>380</v>
      </c>
      <c r="I208" s="101" t="s">
        <v>381</v>
      </c>
      <c r="J208" s="101" t="s">
        <v>382</v>
      </c>
    </row>
    <row r="209" spans="1:14" ht="22.5" customHeight="1" x14ac:dyDescent="0.3">
      <c r="A209" s="629"/>
      <c r="B209" s="629"/>
      <c r="C209" s="624" t="s">
        <v>363</v>
      </c>
      <c r="D209" s="625"/>
      <c r="E209" s="56">
        <v>0</v>
      </c>
      <c r="F209" s="57" t="s">
        <v>782</v>
      </c>
      <c r="G209" s="539" t="s">
        <v>205</v>
      </c>
      <c r="H209" s="539" t="s">
        <v>91</v>
      </c>
      <c r="I209" s="627" t="s">
        <v>739</v>
      </c>
      <c r="J209" s="627"/>
    </row>
    <row r="210" spans="1:14" ht="15" x14ac:dyDescent="0.3">
      <c r="A210" s="629"/>
      <c r="B210" s="629"/>
      <c r="C210" s="98" t="s">
        <v>364</v>
      </c>
      <c r="D210" s="89" t="s">
        <v>365</v>
      </c>
      <c r="E210" s="89" t="s">
        <v>366</v>
      </c>
      <c r="F210" s="89" t="s">
        <v>367</v>
      </c>
      <c r="G210" s="97" t="s">
        <v>384</v>
      </c>
      <c r="H210" s="97" t="s">
        <v>386</v>
      </c>
      <c r="I210" s="97" t="s">
        <v>383</v>
      </c>
      <c r="J210" s="97" t="s">
        <v>385</v>
      </c>
    </row>
    <row r="211" spans="1:14" x14ac:dyDescent="0.3">
      <c r="A211" s="629"/>
      <c r="B211" s="629"/>
      <c r="C211" s="99" t="s">
        <v>32</v>
      </c>
      <c r="D211" s="89" t="str">
        <f>C211</f>
        <v>g</v>
      </c>
      <c r="E211" s="89" t="str">
        <f>D211</f>
        <v>g</v>
      </c>
      <c r="F211" s="89" t="str">
        <f>E211</f>
        <v>g</v>
      </c>
      <c r="G211" s="61" t="str">
        <f>IF(R23&lt;3,"N/A",VLOOKUP(R23,$H$93:$Z$396,5,FALSE))</f>
        <v>N/A</v>
      </c>
      <c r="H211" s="61">
        <f>'500 g'!$C$17</f>
        <v>100</v>
      </c>
      <c r="I211" s="61">
        <f>'500 g'!$C$24</f>
        <v>0.1</v>
      </c>
      <c r="J211" s="61">
        <f>'500 g'!$C$29</f>
        <v>0.1</v>
      </c>
    </row>
    <row r="212" spans="1:14" x14ac:dyDescent="0.3">
      <c r="A212" s="629"/>
      <c r="B212" s="629"/>
      <c r="C212" s="111"/>
      <c r="D212" s="111"/>
      <c r="E212" s="112"/>
      <c r="F212" s="112"/>
      <c r="G212" s="66" t="s">
        <v>368</v>
      </c>
      <c r="H212" s="67" t="s">
        <v>369</v>
      </c>
      <c r="I212" s="67" t="s">
        <v>373</v>
      </c>
      <c r="J212" s="102"/>
    </row>
    <row r="213" spans="1:14" x14ac:dyDescent="0.3">
      <c r="A213" s="629"/>
      <c r="B213" s="629"/>
      <c r="C213" s="111"/>
      <c r="D213" s="111"/>
      <c r="E213" s="112"/>
      <c r="F213" s="112"/>
      <c r="G213" s="62" t="s">
        <v>370</v>
      </c>
      <c r="H213" s="52">
        <v>19.5</v>
      </c>
      <c r="I213" s="52">
        <v>19.899999999999999</v>
      </c>
      <c r="J213" s="69" t="s">
        <v>7</v>
      </c>
    </row>
    <row r="214" spans="1:14" x14ac:dyDescent="0.3">
      <c r="A214" s="629"/>
      <c r="B214" s="629"/>
      <c r="C214" s="111"/>
      <c r="D214" s="111"/>
      <c r="E214" s="112"/>
      <c r="F214" s="112"/>
      <c r="G214" s="62" t="s">
        <v>371</v>
      </c>
      <c r="H214" s="52">
        <v>59.9</v>
      </c>
      <c r="I214" s="54">
        <v>60.7</v>
      </c>
      <c r="J214" s="70" t="s">
        <v>42</v>
      </c>
    </row>
    <row r="215" spans="1:14" x14ac:dyDescent="0.3">
      <c r="A215" s="629"/>
      <c r="B215" s="629"/>
      <c r="C215" s="111"/>
      <c r="D215" s="111"/>
      <c r="E215" s="112"/>
      <c r="F215" s="112"/>
      <c r="G215" s="71" t="s">
        <v>372</v>
      </c>
      <c r="H215" s="52">
        <v>1001</v>
      </c>
      <c r="I215" s="52">
        <v>1001</v>
      </c>
      <c r="J215" s="72" t="s">
        <v>374</v>
      </c>
    </row>
    <row r="216" spans="1:14" x14ac:dyDescent="0.3">
      <c r="A216" s="55"/>
      <c r="B216" s="55"/>
      <c r="C216" s="55"/>
      <c r="D216" s="55"/>
      <c r="E216" s="55"/>
      <c r="F216" s="55"/>
      <c r="G216" s="55"/>
      <c r="H216" s="55"/>
      <c r="I216" s="55"/>
      <c r="J216" s="55"/>
    </row>
    <row r="217" spans="1:14" x14ac:dyDescent="0.3">
      <c r="A217" s="629">
        <v>13</v>
      </c>
      <c r="B217" s="629"/>
      <c r="C217" s="624" t="s">
        <v>360</v>
      </c>
      <c r="D217" s="626"/>
      <c r="E217" s="94" t="s">
        <v>376</v>
      </c>
      <c r="F217" s="94" t="s">
        <v>377</v>
      </c>
      <c r="G217" s="94" t="s">
        <v>16</v>
      </c>
      <c r="H217" s="94" t="s">
        <v>361</v>
      </c>
      <c r="I217" s="94" t="s">
        <v>362</v>
      </c>
      <c r="J217" s="94" t="s">
        <v>36</v>
      </c>
    </row>
    <row r="218" spans="1:14" ht="22.5" customHeight="1" x14ac:dyDescent="0.3">
      <c r="A218" s="629"/>
      <c r="B218" s="629"/>
      <c r="C218" s="622" t="s">
        <v>28</v>
      </c>
      <c r="D218" s="623"/>
      <c r="E218" s="83">
        <f>'1 kg'!$I$7</f>
        <v>0</v>
      </c>
      <c r="F218" s="84">
        <f>'1 kg'!$I$7+'1 kg'!$I$8</f>
        <v>0</v>
      </c>
      <c r="G218" s="83">
        <f>'1 kg'!$I$15</f>
        <v>0</v>
      </c>
      <c r="H218" s="85">
        <f>'1 kg'!$I$10</f>
        <v>0</v>
      </c>
      <c r="I218" s="83">
        <f>'1 kg'!$I$11</f>
        <v>0</v>
      </c>
      <c r="J218" s="85">
        <f>'1 kg'!$I$16</f>
        <v>0</v>
      </c>
      <c r="L218" s="63" t="s">
        <v>353</v>
      </c>
      <c r="M218" s="618" t="s">
        <v>480</v>
      </c>
      <c r="N218" s="619"/>
    </row>
    <row r="219" spans="1:14" ht="23.25" customHeight="1" x14ac:dyDescent="0.3">
      <c r="A219" s="629"/>
      <c r="B219" s="629"/>
      <c r="C219" s="622" t="s">
        <v>28</v>
      </c>
      <c r="D219" s="623"/>
      <c r="E219" s="83">
        <f>'1 kg'!$J$7</f>
        <v>0</v>
      </c>
      <c r="F219" s="84">
        <f>'1 kg'!$J$7+'1 kg'!$J$8</f>
        <v>0</v>
      </c>
      <c r="G219" s="83">
        <f>'1 kg'!$J$15</f>
        <v>0</v>
      </c>
      <c r="H219" s="85">
        <f>'1 kg'!$J$10</f>
        <v>0</v>
      </c>
      <c r="I219" s="83">
        <f>'1 kg'!$J$11</f>
        <v>0</v>
      </c>
      <c r="J219" s="85">
        <f>'1 kg'!$J$16</f>
        <v>0</v>
      </c>
      <c r="L219" s="63" t="s">
        <v>387</v>
      </c>
      <c r="M219" s="620" t="s">
        <v>355</v>
      </c>
      <c r="N219" s="620"/>
    </row>
    <row r="220" spans="1:14" ht="18.75" customHeight="1" x14ac:dyDescent="0.3">
      <c r="A220" s="629"/>
      <c r="B220" s="629"/>
      <c r="C220" s="622" t="s">
        <v>28</v>
      </c>
      <c r="D220" s="623"/>
      <c r="E220" s="83">
        <f>'1 kg'!$K$7</f>
        <v>0</v>
      </c>
      <c r="F220" s="84">
        <f>'1 kg'!$K$7+'1 kg'!$K$8</f>
        <v>0</v>
      </c>
      <c r="G220" s="83">
        <f>'1 kg'!$K$15</f>
        <v>0</v>
      </c>
      <c r="H220" s="85">
        <f>'1 kg'!$K$10</f>
        <v>0</v>
      </c>
      <c r="I220" s="83">
        <f>'1 kg'!$K$11</f>
        <v>0</v>
      </c>
      <c r="J220" s="85">
        <f>'1 kg'!$K$16</f>
        <v>0</v>
      </c>
      <c r="L220" s="63" t="s">
        <v>388</v>
      </c>
      <c r="M220" s="621" t="s">
        <v>26</v>
      </c>
      <c r="N220" s="621"/>
    </row>
    <row r="221" spans="1:14" ht="24" customHeight="1" x14ac:dyDescent="0.3">
      <c r="A221" s="629"/>
      <c r="B221" s="629"/>
      <c r="C221" s="622" t="s">
        <v>28</v>
      </c>
      <c r="D221" s="623"/>
      <c r="E221" s="83">
        <f>'1 kg'!$L$7</f>
        <v>0</v>
      </c>
      <c r="F221" s="84">
        <f>'1 kg'!$L$7+'1 kg'!$L$8</f>
        <v>0</v>
      </c>
      <c r="G221" s="83">
        <f>'1 kg'!$L$15</f>
        <v>0</v>
      </c>
      <c r="H221" s="85">
        <f>'1 kg'!$L$10</f>
        <v>0</v>
      </c>
      <c r="I221" s="83">
        <f>'1 kg'!$L$11</f>
        <v>0</v>
      </c>
      <c r="J221" s="85">
        <f>'1 kg'!$L$16</f>
        <v>0</v>
      </c>
    </row>
    <row r="222" spans="1:14" ht="21.75" customHeight="1" x14ac:dyDescent="0.3">
      <c r="A222" s="629"/>
      <c r="B222" s="629"/>
      <c r="C222" s="622" t="s">
        <v>28</v>
      </c>
      <c r="D222" s="623"/>
      <c r="E222" s="86">
        <f>'1 kg'!$M$7</f>
        <v>0</v>
      </c>
      <c r="F222" s="87">
        <f>'1 kg'!$M$7+'1 kg'!$M$8</f>
        <v>0</v>
      </c>
      <c r="G222" s="85">
        <f>'1 kg'!$M$15</f>
        <v>0</v>
      </c>
      <c r="H222" s="85">
        <f>'1 kg'!$M$10</f>
        <v>0</v>
      </c>
      <c r="I222" s="83">
        <f>'1 kg'!$M$11</f>
        <v>0</v>
      </c>
      <c r="J222" s="85">
        <f>'1 kg'!$M$16</f>
        <v>0</v>
      </c>
    </row>
    <row r="223" spans="1:14" ht="24" customHeight="1" x14ac:dyDescent="0.3">
      <c r="A223" s="629"/>
      <c r="B223" s="629"/>
      <c r="C223" s="622" t="s">
        <v>28</v>
      </c>
      <c r="D223" s="623"/>
      <c r="E223" s="86">
        <f>'1 kg'!$N$7</f>
        <v>0</v>
      </c>
      <c r="F223" s="87">
        <f>'1 kg'!$N$7+'1 kg'!$N$8</f>
        <v>0</v>
      </c>
      <c r="G223" s="85">
        <f>'1 kg'!$N$15</f>
        <v>0</v>
      </c>
      <c r="H223" s="88">
        <f>'1 kg'!$N$10</f>
        <v>0</v>
      </c>
      <c r="I223" s="83">
        <f>'1 kg'!$N$11</f>
        <v>0</v>
      </c>
      <c r="J223" s="85">
        <f>'1 kg'!$N$16</f>
        <v>0</v>
      </c>
    </row>
    <row r="224" spans="1:14" ht="24.75" customHeight="1" x14ac:dyDescent="0.3">
      <c r="A224" s="629"/>
      <c r="B224" s="629"/>
      <c r="C224" s="622" t="s">
        <v>28</v>
      </c>
      <c r="D224" s="623"/>
      <c r="E224" s="86">
        <f>'1 kg'!$O$7</f>
        <v>0</v>
      </c>
      <c r="F224" s="87">
        <f>'1 kg'!$O$7+'1 kg'!$O$8</f>
        <v>0</v>
      </c>
      <c r="G224" s="85">
        <f>'1 kg'!$O$15</f>
        <v>0</v>
      </c>
      <c r="H224" s="85">
        <f>'1 kg'!$O$10</f>
        <v>0</v>
      </c>
      <c r="I224" s="85">
        <f>'1 kg'!$O$11</f>
        <v>0</v>
      </c>
      <c r="J224" s="85">
        <f>'1 kg'!$O$16</f>
        <v>0</v>
      </c>
    </row>
    <row r="225" spans="1:14" ht="24" customHeight="1" x14ac:dyDescent="0.3">
      <c r="A225" s="629"/>
      <c r="B225" s="629"/>
      <c r="C225" s="95" t="s">
        <v>378</v>
      </c>
      <c r="D225" s="570" t="s">
        <v>79</v>
      </c>
      <c r="E225" s="90">
        <f>'1 kg'!$R$24</f>
        <v>200</v>
      </c>
      <c r="F225" s="91">
        <f>'1 kg'!$R$24+'1 kg'!$R$25</f>
        <v>200.00001599999999</v>
      </c>
      <c r="G225" s="96" t="s">
        <v>379</v>
      </c>
      <c r="H225" s="96" t="s">
        <v>380</v>
      </c>
      <c r="I225" s="96" t="s">
        <v>381</v>
      </c>
      <c r="J225" s="96" t="s">
        <v>382</v>
      </c>
    </row>
    <row r="226" spans="1:14" ht="27.75" customHeight="1" x14ac:dyDescent="0.3">
      <c r="A226" s="629"/>
      <c r="B226" s="629"/>
      <c r="C226" s="624" t="s">
        <v>363</v>
      </c>
      <c r="D226" s="625"/>
      <c r="E226" s="56">
        <v>0</v>
      </c>
      <c r="F226" s="57" t="s">
        <v>32</v>
      </c>
      <c r="G226" s="539" t="s">
        <v>205</v>
      </c>
      <c r="H226" s="539" t="s">
        <v>91</v>
      </c>
      <c r="I226" s="627" t="s">
        <v>739</v>
      </c>
      <c r="J226" s="627"/>
    </row>
    <row r="227" spans="1:14" ht="20.25" customHeight="1" x14ac:dyDescent="0.3">
      <c r="A227" s="629"/>
      <c r="B227" s="629"/>
      <c r="C227" s="98" t="s">
        <v>364</v>
      </c>
      <c r="D227" s="89" t="s">
        <v>365</v>
      </c>
      <c r="E227" s="89" t="s">
        <v>366</v>
      </c>
      <c r="F227" s="89" t="s">
        <v>367</v>
      </c>
      <c r="G227" s="97" t="s">
        <v>384</v>
      </c>
      <c r="H227" s="97" t="s">
        <v>386</v>
      </c>
      <c r="I227" s="97" t="s">
        <v>383</v>
      </c>
      <c r="J227" s="97" t="s">
        <v>385</v>
      </c>
    </row>
    <row r="228" spans="1:14" x14ac:dyDescent="0.3">
      <c r="A228" s="629"/>
      <c r="B228" s="629"/>
      <c r="C228" s="99" t="s">
        <v>32</v>
      </c>
      <c r="D228" s="89" t="str">
        <f>C228</f>
        <v>g</v>
      </c>
      <c r="E228" s="89" t="str">
        <f>D228</f>
        <v>g</v>
      </c>
      <c r="F228" s="89" t="str">
        <f>E228</f>
        <v>g</v>
      </c>
      <c r="G228" s="61">
        <f>'1 kg'!$C$8</f>
        <v>7700</v>
      </c>
      <c r="H228" s="61">
        <f>'1 kg'!$C$17</f>
        <v>100</v>
      </c>
      <c r="I228" s="61">
        <f>'1 kg'!$C$24</f>
        <v>0.1</v>
      </c>
      <c r="J228" s="61">
        <f>'1 kg'!$C$29</f>
        <v>0.1</v>
      </c>
    </row>
    <row r="229" spans="1:14" x14ac:dyDescent="0.3">
      <c r="A229" s="629"/>
      <c r="B229" s="629"/>
      <c r="C229" s="111"/>
      <c r="D229" s="111"/>
      <c r="E229" s="112"/>
      <c r="F229" s="112"/>
      <c r="G229" s="66" t="s">
        <v>368</v>
      </c>
      <c r="H229" s="67" t="s">
        <v>369</v>
      </c>
      <c r="I229" s="67" t="s">
        <v>373</v>
      </c>
      <c r="J229" s="102"/>
    </row>
    <row r="230" spans="1:14" x14ac:dyDescent="0.3">
      <c r="A230" s="629"/>
      <c r="B230" s="629"/>
      <c r="C230" s="111"/>
      <c r="D230" s="111"/>
      <c r="E230" s="112"/>
      <c r="F230" s="112"/>
      <c r="G230" s="62" t="s">
        <v>370</v>
      </c>
      <c r="H230" s="52">
        <v>19.899999999999999</v>
      </c>
      <c r="I230" s="77">
        <v>20</v>
      </c>
      <c r="J230" s="69" t="s">
        <v>7</v>
      </c>
    </row>
    <row r="231" spans="1:14" x14ac:dyDescent="0.3">
      <c r="A231" s="629"/>
      <c r="B231" s="629"/>
      <c r="C231" s="111"/>
      <c r="D231" s="111"/>
      <c r="E231" s="112"/>
      <c r="F231" s="112"/>
      <c r="G231" s="62" t="s">
        <v>371</v>
      </c>
      <c r="H231" s="52">
        <v>58.7</v>
      </c>
      <c r="I231" s="52">
        <v>51.5</v>
      </c>
      <c r="J231" s="70" t="s">
        <v>42</v>
      </c>
    </row>
    <row r="232" spans="1:14" x14ac:dyDescent="0.3">
      <c r="A232" s="629"/>
      <c r="B232" s="629"/>
      <c r="C232" s="111"/>
      <c r="D232" s="111"/>
      <c r="E232" s="112"/>
      <c r="F232" s="112"/>
      <c r="G232" s="71" t="s">
        <v>372</v>
      </c>
      <c r="H232" s="52">
        <v>1001</v>
      </c>
      <c r="I232" s="52">
        <v>1001</v>
      </c>
      <c r="J232" s="72" t="s">
        <v>374</v>
      </c>
    </row>
    <row r="233" spans="1:14" x14ac:dyDescent="0.3">
      <c r="A233" s="55"/>
      <c r="B233" s="55"/>
      <c r="C233" s="55"/>
      <c r="D233" s="55"/>
      <c r="E233" s="55"/>
      <c r="F233" s="55"/>
      <c r="G233" s="55"/>
      <c r="H233" s="55"/>
      <c r="I233" s="55"/>
      <c r="J233" s="55"/>
    </row>
    <row r="234" spans="1:14" x14ac:dyDescent="0.3">
      <c r="A234" s="629">
        <v>14</v>
      </c>
      <c r="B234" s="629"/>
      <c r="C234" s="624" t="s">
        <v>360</v>
      </c>
      <c r="D234" s="626"/>
      <c r="E234" s="94" t="s">
        <v>376</v>
      </c>
      <c r="F234" s="94" t="s">
        <v>377</v>
      </c>
      <c r="G234" s="94" t="s">
        <v>16</v>
      </c>
      <c r="H234" s="94" t="s">
        <v>361</v>
      </c>
      <c r="I234" s="94" t="s">
        <v>362</v>
      </c>
      <c r="J234" s="94" t="s">
        <v>36</v>
      </c>
    </row>
    <row r="235" spans="1:14" ht="24.75" customHeight="1" x14ac:dyDescent="0.3">
      <c r="A235" s="629"/>
      <c r="B235" s="629"/>
      <c r="C235" s="622" t="s">
        <v>28</v>
      </c>
      <c r="D235" s="623"/>
      <c r="E235" s="83">
        <f>'2 kg'!$I$7</f>
        <v>0</v>
      </c>
      <c r="F235" s="84">
        <f>'2 kg'!$I$7+'2 kg'!$I$8</f>
        <v>0</v>
      </c>
      <c r="G235" s="83">
        <f>'2 kg'!$I$15</f>
        <v>0</v>
      </c>
      <c r="H235" s="85">
        <f>'2 kg'!$I$10</f>
        <v>0</v>
      </c>
      <c r="I235" s="83">
        <f>'2 kg'!$I$11</f>
        <v>0</v>
      </c>
      <c r="J235" s="85">
        <f>'2 kg'!$I$16</f>
        <v>0</v>
      </c>
      <c r="L235" s="63" t="s">
        <v>353</v>
      </c>
      <c r="M235" s="618" t="s">
        <v>480</v>
      </c>
      <c r="N235" s="619"/>
    </row>
    <row r="236" spans="1:14" ht="17.25" customHeight="1" x14ac:dyDescent="0.3">
      <c r="A236" s="629"/>
      <c r="B236" s="629"/>
      <c r="C236" s="622" t="s">
        <v>28</v>
      </c>
      <c r="D236" s="623"/>
      <c r="E236" s="83">
        <f>'2 kg'!$J$7</f>
        <v>0</v>
      </c>
      <c r="F236" s="84">
        <f>'2 kg'!$J$7+'2 kg'!$J$8</f>
        <v>0</v>
      </c>
      <c r="G236" s="83">
        <f>'2 kg'!$J$15</f>
        <v>0</v>
      </c>
      <c r="H236" s="85">
        <f>'2 kg'!$J$10</f>
        <v>0</v>
      </c>
      <c r="I236" s="83">
        <f>'2 kg'!$J$11</f>
        <v>0</v>
      </c>
      <c r="J236" s="85">
        <f>'2 kg'!$J$16</f>
        <v>0</v>
      </c>
      <c r="L236" s="63" t="s">
        <v>387</v>
      </c>
      <c r="M236" s="620" t="s">
        <v>355</v>
      </c>
      <c r="N236" s="620"/>
    </row>
    <row r="237" spans="1:14" ht="21.75" customHeight="1" x14ac:dyDescent="0.3">
      <c r="A237" s="629"/>
      <c r="B237" s="629"/>
      <c r="C237" s="622" t="s">
        <v>28</v>
      </c>
      <c r="D237" s="623"/>
      <c r="E237" s="83">
        <f>'2 kg'!$K$7</f>
        <v>0</v>
      </c>
      <c r="F237" s="84">
        <f>'2 kg'!$K$7+'2 kg'!$K$8</f>
        <v>0</v>
      </c>
      <c r="G237" s="83">
        <f>'2 kg'!$K$15</f>
        <v>0</v>
      </c>
      <c r="H237" s="85">
        <f>'2 kg'!$K$10</f>
        <v>0</v>
      </c>
      <c r="I237" s="83">
        <f>'2 kg'!$K$11</f>
        <v>0</v>
      </c>
      <c r="J237" s="85">
        <f>'2 kg'!$K$16</f>
        <v>0</v>
      </c>
      <c r="L237" s="63" t="s">
        <v>388</v>
      </c>
      <c r="M237" s="621" t="s">
        <v>26</v>
      </c>
      <c r="N237" s="621"/>
    </row>
    <row r="238" spans="1:14" ht="18.75" customHeight="1" x14ac:dyDescent="0.3">
      <c r="A238" s="629"/>
      <c r="B238" s="629"/>
      <c r="C238" s="622" t="s">
        <v>28</v>
      </c>
      <c r="D238" s="623"/>
      <c r="E238" s="83">
        <f>'2 kg'!$L$7</f>
        <v>0</v>
      </c>
      <c r="F238" s="84">
        <f>'2 kg'!$L$7+'2 kg'!$L$8</f>
        <v>0</v>
      </c>
      <c r="G238" s="83">
        <f>'2 kg'!$L$15</f>
        <v>0</v>
      </c>
      <c r="H238" s="85">
        <f>'2 kg'!$L$10</f>
        <v>0</v>
      </c>
      <c r="I238" s="83">
        <f>'2 kg'!$L$11</f>
        <v>0</v>
      </c>
      <c r="J238" s="85">
        <f>'2 kg'!$L$16</f>
        <v>0</v>
      </c>
    </row>
    <row r="239" spans="1:14" ht="18.75" customHeight="1" x14ac:dyDescent="0.3">
      <c r="A239" s="629"/>
      <c r="B239" s="629"/>
      <c r="C239" s="622" t="s">
        <v>28</v>
      </c>
      <c r="D239" s="623"/>
      <c r="E239" s="86">
        <f>'2 kg'!$M$7</f>
        <v>0</v>
      </c>
      <c r="F239" s="87">
        <f>'2 kg'!$M$7+'2 kg'!$M$8</f>
        <v>0</v>
      </c>
      <c r="G239" s="85">
        <f>'2 kg'!$M$15</f>
        <v>0</v>
      </c>
      <c r="H239" s="85">
        <f>'2 kg'!$M$10</f>
        <v>0</v>
      </c>
      <c r="I239" s="83">
        <f>'2 kg'!$M$11</f>
        <v>0</v>
      </c>
      <c r="J239" s="85">
        <f>'2 kg'!$M$16</f>
        <v>0</v>
      </c>
    </row>
    <row r="240" spans="1:14" ht="24" customHeight="1" x14ac:dyDescent="0.3">
      <c r="A240" s="629"/>
      <c r="B240" s="629"/>
      <c r="C240" s="622" t="s">
        <v>28</v>
      </c>
      <c r="D240" s="623"/>
      <c r="E240" s="86">
        <f>'2 kg'!$N$7</f>
        <v>0</v>
      </c>
      <c r="F240" s="87">
        <f>'2 kg'!$N$7+'2 kg'!$N$8</f>
        <v>0</v>
      </c>
      <c r="G240" s="85">
        <f>'2 kg'!$N$15</f>
        <v>0</v>
      </c>
      <c r="H240" s="88">
        <f>'2 kg'!$N$10</f>
        <v>0</v>
      </c>
      <c r="I240" s="83">
        <f>'2 kg'!$N$11</f>
        <v>0</v>
      </c>
      <c r="J240" s="85">
        <f>'2 kg'!$N$16</f>
        <v>0</v>
      </c>
    </row>
    <row r="241" spans="1:14" ht="21.75" customHeight="1" x14ac:dyDescent="0.3">
      <c r="A241" s="629"/>
      <c r="B241" s="629"/>
      <c r="C241" s="622" t="s">
        <v>28</v>
      </c>
      <c r="D241" s="623"/>
      <c r="E241" s="86">
        <f>'2 kg'!$O$7</f>
        <v>0</v>
      </c>
      <c r="F241" s="87">
        <f>'2 kg'!$O$7+'2 kg'!$O$8</f>
        <v>0</v>
      </c>
      <c r="G241" s="85">
        <f>'2 kg'!$O$15</f>
        <v>0</v>
      </c>
      <c r="H241" s="85">
        <f>'2 kg'!$O$10</f>
        <v>0</v>
      </c>
      <c r="I241" s="85">
        <f>'2 kg'!$O$11</f>
        <v>0</v>
      </c>
      <c r="J241" s="85">
        <f>'2 kg'!$O$16</f>
        <v>0</v>
      </c>
    </row>
    <row r="242" spans="1:14" ht="25.8" customHeight="1" x14ac:dyDescent="0.3">
      <c r="A242" s="629"/>
      <c r="B242" s="629"/>
      <c r="C242" s="95" t="s">
        <v>378</v>
      </c>
      <c r="D242" s="570" t="s">
        <v>79</v>
      </c>
      <c r="E242" s="90">
        <f>'2 kg'!$R$24</f>
        <v>200</v>
      </c>
      <c r="F242" s="91">
        <f>'2 kg'!$R$24+'2 kg'!$R$25</f>
        <v>200.00001599999999</v>
      </c>
      <c r="G242" s="96" t="s">
        <v>379</v>
      </c>
      <c r="H242" s="96" t="s">
        <v>380</v>
      </c>
      <c r="I242" s="96" t="s">
        <v>381</v>
      </c>
      <c r="J242" s="96" t="s">
        <v>382</v>
      </c>
    </row>
    <row r="243" spans="1:14" ht="21" customHeight="1" x14ac:dyDescent="0.3">
      <c r="A243" s="629"/>
      <c r="B243" s="629"/>
      <c r="C243" s="624" t="s">
        <v>363</v>
      </c>
      <c r="D243" s="625"/>
      <c r="E243" s="56">
        <v>0</v>
      </c>
      <c r="F243" s="57" t="s">
        <v>782</v>
      </c>
      <c r="G243" s="539" t="s">
        <v>205</v>
      </c>
      <c r="H243" s="539" t="s">
        <v>91</v>
      </c>
      <c r="I243" s="627" t="s">
        <v>739</v>
      </c>
      <c r="J243" s="627"/>
    </row>
    <row r="244" spans="1:14" ht="14.25" customHeight="1" x14ac:dyDescent="0.3">
      <c r="A244" s="629"/>
      <c r="B244" s="629"/>
      <c r="C244" s="98" t="s">
        <v>364</v>
      </c>
      <c r="D244" s="89" t="s">
        <v>365</v>
      </c>
      <c r="E244" s="89" t="s">
        <v>366</v>
      </c>
      <c r="F244" s="89" t="s">
        <v>367</v>
      </c>
      <c r="G244" s="97" t="s">
        <v>384</v>
      </c>
      <c r="H244" s="97" t="s">
        <v>386</v>
      </c>
      <c r="I244" s="97" t="s">
        <v>383</v>
      </c>
      <c r="J244" s="97" t="s">
        <v>385</v>
      </c>
    </row>
    <row r="245" spans="1:14" x14ac:dyDescent="0.3">
      <c r="A245" s="629"/>
      <c r="B245" s="629"/>
      <c r="C245" s="99" t="s">
        <v>32</v>
      </c>
      <c r="D245" s="89" t="str">
        <f>C245</f>
        <v>g</v>
      </c>
      <c r="E245" s="89" t="str">
        <f>D245</f>
        <v>g</v>
      </c>
      <c r="F245" s="89" t="str">
        <f>E245</f>
        <v>g</v>
      </c>
      <c r="G245" s="61">
        <f>'2 kg'!$C$8</f>
        <v>7700</v>
      </c>
      <c r="H245" s="61">
        <f>'2 kg'!$C$17</f>
        <v>100</v>
      </c>
      <c r="I245" s="61">
        <f>'2 kg'!$C$24</f>
        <v>0.1</v>
      </c>
      <c r="J245" s="61">
        <f>'2 kg'!$C$29</f>
        <v>0.1</v>
      </c>
    </row>
    <row r="246" spans="1:14" x14ac:dyDescent="0.3">
      <c r="A246" s="629"/>
      <c r="B246" s="629"/>
      <c r="C246" s="113"/>
      <c r="D246" s="113"/>
      <c r="E246" s="114"/>
      <c r="F246" s="114"/>
      <c r="G246" s="66" t="s">
        <v>368</v>
      </c>
      <c r="H246" s="67" t="s">
        <v>369</v>
      </c>
      <c r="I246" s="67" t="s">
        <v>373</v>
      </c>
      <c r="J246" s="102"/>
    </row>
    <row r="247" spans="1:14" x14ac:dyDescent="0.3">
      <c r="A247" s="629"/>
      <c r="B247" s="629"/>
      <c r="C247" s="113"/>
      <c r="D247" s="113"/>
      <c r="E247" s="114"/>
      <c r="F247" s="114"/>
      <c r="G247" s="62" t="s">
        <v>370</v>
      </c>
      <c r="H247" s="52">
        <v>19.899999999999999</v>
      </c>
      <c r="I247" s="52">
        <v>19.8</v>
      </c>
      <c r="J247" s="69" t="s">
        <v>7</v>
      </c>
    </row>
    <row r="248" spans="1:14" x14ac:dyDescent="0.3">
      <c r="A248" s="629"/>
      <c r="B248" s="629"/>
      <c r="C248" s="113"/>
      <c r="D248" s="113"/>
      <c r="E248" s="114"/>
      <c r="F248" s="114"/>
      <c r="G248" s="62" t="s">
        <v>371</v>
      </c>
      <c r="H248" s="52">
        <v>52.5</v>
      </c>
      <c r="I248" s="54">
        <v>50.4</v>
      </c>
      <c r="J248" s="70" t="s">
        <v>42</v>
      </c>
    </row>
    <row r="249" spans="1:14" x14ac:dyDescent="0.3">
      <c r="A249" s="629"/>
      <c r="B249" s="629"/>
      <c r="C249" s="113"/>
      <c r="D249" s="113"/>
      <c r="E249" s="114"/>
      <c r="F249" s="114"/>
      <c r="G249" s="71" t="s">
        <v>372</v>
      </c>
      <c r="H249" s="52">
        <v>1001</v>
      </c>
      <c r="I249" s="52">
        <v>1001</v>
      </c>
      <c r="J249" s="72" t="s">
        <v>374</v>
      </c>
    </row>
    <row r="250" spans="1:14" x14ac:dyDescent="0.3">
      <c r="A250" s="55"/>
      <c r="B250" s="55"/>
      <c r="C250" s="55"/>
      <c r="D250" s="55"/>
      <c r="E250" s="55"/>
      <c r="F250" s="55"/>
      <c r="G250" s="55"/>
      <c r="H250" s="55"/>
      <c r="I250" s="55"/>
      <c r="J250" s="55"/>
    </row>
    <row r="251" spans="1:14" x14ac:dyDescent="0.3">
      <c r="A251" s="629">
        <v>15</v>
      </c>
      <c r="B251" s="629"/>
      <c r="C251" s="624" t="s">
        <v>360</v>
      </c>
      <c r="D251" s="626"/>
      <c r="E251" s="94" t="s">
        <v>376</v>
      </c>
      <c r="F251" s="94" t="s">
        <v>377</v>
      </c>
      <c r="G251" s="94" t="s">
        <v>16</v>
      </c>
      <c r="H251" s="94" t="s">
        <v>361</v>
      </c>
      <c r="I251" s="94" t="s">
        <v>362</v>
      </c>
      <c r="J251" s="94" t="s">
        <v>36</v>
      </c>
    </row>
    <row r="252" spans="1:14" ht="22.5" customHeight="1" x14ac:dyDescent="0.3">
      <c r="A252" s="629"/>
      <c r="B252" s="629"/>
      <c r="C252" s="622" t="s">
        <v>28</v>
      </c>
      <c r="D252" s="623"/>
      <c r="E252" s="83">
        <f>'2 kg.'!$I$7</f>
        <v>0</v>
      </c>
      <c r="F252" s="84">
        <f>'2 kg.'!$I$7+'2 kg.'!$I$8</f>
        <v>0</v>
      </c>
      <c r="G252" s="83">
        <f>'2 kg.'!$I$15</f>
        <v>0</v>
      </c>
      <c r="H252" s="85">
        <f>'2 kg.'!$I$10</f>
        <v>0</v>
      </c>
      <c r="I252" s="83">
        <f>'2 kg.'!$I$11</f>
        <v>0</v>
      </c>
      <c r="J252" s="85">
        <f>'2 kg.'!$I$16</f>
        <v>0</v>
      </c>
      <c r="L252" s="63" t="s">
        <v>353</v>
      </c>
      <c r="M252" s="618" t="s">
        <v>480</v>
      </c>
      <c r="N252" s="619"/>
    </row>
    <row r="253" spans="1:14" ht="23.25" customHeight="1" x14ac:dyDescent="0.3">
      <c r="A253" s="629"/>
      <c r="B253" s="629"/>
      <c r="C253" s="622" t="s">
        <v>28</v>
      </c>
      <c r="D253" s="623"/>
      <c r="E253" s="83">
        <f>'2 kg.'!$J$7</f>
        <v>0</v>
      </c>
      <c r="F253" s="84">
        <f>'2 kg.'!$J$7+'2 kg.'!$J$8</f>
        <v>0</v>
      </c>
      <c r="G253" s="83">
        <f>'2 kg.'!$J$15</f>
        <v>0</v>
      </c>
      <c r="H253" s="85">
        <f>'2 kg.'!$J$10</f>
        <v>0</v>
      </c>
      <c r="I253" s="83">
        <f>'2 kg.'!$J$11</f>
        <v>0</v>
      </c>
      <c r="J253" s="85">
        <f>'2 kg.'!$J$16</f>
        <v>0</v>
      </c>
      <c r="L253" s="63" t="s">
        <v>387</v>
      </c>
      <c r="M253" s="620" t="s">
        <v>355</v>
      </c>
      <c r="N253" s="620"/>
    </row>
    <row r="254" spans="1:14" ht="21.75" customHeight="1" x14ac:dyDescent="0.3">
      <c r="A254" s="629"/>
      <c r="B254" s="629"/>
      <c r="C254" s="622" t="s">
        <v>28</v>
      </c>
      <c r="D254" s="623"/>
      <c r="E254" s="83">
        <f>'2 kg.'!$K$7</f>
        <v>0</v>
      </c>
      <c r="F254" s="84">
        <f>'2 kg.'!$K$7+'2 kg.'!$K$8</f>
        <v>0</v>
      </c>
      <c r="G254" s="83">
        <f>'2 kg.'!$K$15</f>
        <v>0</v>
      </c>
      <c r="H254" s="85">
        <f>'2 kg.'!$K$10</f>
        <v>0</v>
      </c>
      <c r="I254" s="83">
        <f>'2 kg.'!$K$11</f>
        <v>0</v>
      </c>
      <c r="J254" s="85">
        <f>'2 kg.'!$K$16</f>
        <v>0</v>
      </c>
      <c r="L254" s="63" t="s">
        <v>388</v>
      </c>
      <c r="M254" s="621" t="s">
        <v>26</v>
      </c>
      <c r="N254" s="621"/>
    </row>
    <row r="255" spans="1:14" ht="23.25" customHeight="1" x14ac:dyDescent="0.3">
      <c r="A255" s="629"/>
      <c r="B255" s="629"/>
      <c r="C255" s="622" t="s">
        <v>28</v>
      </c>
      <c r="D255" s="623"/>
      <c r="E255" s="83">
        <f>'2 kg.'!$L$7</f>
        <v>0</v>
      </c>
      <c r="F255" s="84">
        <f>'2 kg.'!$L$7+'2 kg.'!$L$8</f>
        <v>0</v>
      </c>
      <c r="G255" s="83">
        <f>'2 kg.'!$L$15</f>
        <v>0</v>
      </c>
      <c r="H255" s="85">
        <f>'2 kg.'!$L$10</f>
        <v>0</v>
      </c>
      <c r="I255" s="83">
        <f>'2 kg.'!$L$11</f>
        <v>0</v>
      </c>
      <c r="J255" s="85">
        <f>'2 kg.'!$L$16</f>
        <v>0</v>
      </c>
    </row>
    <row r="256" spans="1:14" ht="20.25" customHeight="1" x14ac:dyDescent="0.3">
      <c r="A256" s="629"/>
      <c r="B256" s="629"/>
      <c r="C256" s="622" t="s">
        <v>28</v>
      </c>
      <c r="D256" s="623"/>
      <c r="E256" s="86">
        <f>'2 kg.'!$M$7</f>
        <v>0</v>
      </c>
      <c r="F256" s="87">
        <f>'2 kg.'!$M$7+'2 kg.'!$M$8</f>
        <v>0</v>
      </c>
      <c r="G256" s="85">
        <f>'2 kg.'!$M$15</f>
        <v>0</v>
      </c>
      <c r="H256" s="85">
        <f>'2 kg.'!$M$10</f>
        <v>0</v>
      </c>
      <c r="I256" s="83">
        <f>'2 kg.'!$M$11</f>
        <v>0</v>
      </c>
      <c r="J256" s="85">
        <f>'2 kg.'!$M$16</f>
        <v>0</v>
      </c>
    </row>
    <row r="257" spans="1:14" ht="22.5" customHeight="1" x14ac:dyDescent="0.3">
      <c r="A257" s="629"/>
      <c r="B257" s="629"/>
      <c r="C257" s="622" t="s">
        <v>28</v>
      </c>
      <c r="D257" s="623"/>
      <c r="E257" s="86">
        <f>'2 kg.'!$N$7</f>
        <v>0</v>
      </c>
      <c r="F257" s="87">
        <f>'2 kg.'!$N$7+'2 kg.'!$N$8</f>
        <v>0</v>
      </c>
      <c r="G257" s="85">
        <f>'2 kg.'!$N$15</f>
        <v>0</v>
      </c>
      <c r="H257" s="88">
        <f>'2 kg.'!$N$10</f>
        <v>0</v>
      </c>
      <c r="I257" s="83">
        <f>'2 kg.'!$N$11</f>
        <v>0</v>
      </c>
      <c r="J257" s="85">
        <f>'2 kg.'!$N$16</f>
        <v>0</v>
      </c>
    </row>
    <row r="258" spans="1:14" ht="24" customHeight="1" x14ac:dyDescent="0.3">
      <c r="A258" s="629"/>
      <c r="B258" s="629"/>
      <c r="C258" s="622" t="s">
        <v>28</v>
      </c>
      <c r="D258" s="623"/>
      <c r="E258" s="86">
        <f>'2 kg.'!$O$7</f>
        <v>0</v>
      </c>
      <c r="F258" s="87">
        <f>'2 kg.'!$O$7+'2 kg.'!$O$8</f>
        <v>0</v>
      </c>
      <c r="G258" s="85">
        <f>'2 kg.'!$O$15</f>
        <v>0</v>
      </c>
      <c r="H258" s="85">
        <f>'2 kg.'!$O$10</f>
        <v>0</v>
      </c>
      <c r="I258" s="85">
        <f>'2 kg.'!$O$11</f>
        <v>0</v>
      </c>
      <c r="J258" s="85">
        <f>'2 kg.'!$O$16</f>
        <v>0</v>
      </c>
    </row>
    <row r="259" spans="1:14" ht="24" customHeight="1" x14ac:dyDescent="0.3">
      <c r="A259" s="629"/>
      <c r="B259" s="629"/>
      <c r="C259" s="95" t="s">
        <v>378</v>
      </c>
      <c r="D259" s="570" t="s">
        <v>79</v>
      </c>
      <c r="E259" s="90">
        <f>'2 kg.'!$R$24</f>
        <v>200</v>
      </c>
      <c r="F259" s="91">
        <f>'2 kg.'!$R$24+'2 kg.'!$R$25</f>
        <v>200.00001599999999</v>
      </c>
      <c r="G259" s="96" t="s">
        <v>379</v>
      </c>
      <c r="H259" s="96" t="s">
        <v>380</v>
      </c>
      <c r="I259" s="96" t="s">
        <v>381</v>
      </c>
      <c r="J259" s="96" t="s">
        <v>382</v>
      </c>
    </row>
    <row r="260" spans="1:14" ht="21.75" customHeight="1" x14ac:dyDescent="0.3">
      <c r="A260" s="629"/>
      <c r="B260" s="629"/>
      <c r="C260" s="624" t="s">
        <v>363</v>
      </c>
      <c r="D260" s="625"/>
      <c r="E260" s="56">
        <v>0</v>
      </c>
      <c r="F260" s="57" t="s">
        <v>782</v>
      </c>
      <c r="G260" s="539" t="s">
        <v>205</v>
      </c>
      <c r="H260" s="539" t="s">
        <v>91</v>
      </c>
      <c r="I260" s="627" t="s">
        <v>739</v>
      </c>
      <c r="J260" s="627"/>
    </row>
    <row r="261" spans="1:14" ht="15" x14ac:dyDescent="0.3">
      <c r="A261" s="629"/>
      <c r="B261" s="629"/>
      <c r="C261" s="98" t="s">
        <v>364</v>
      </c>
      <c r="D261" s="89" t="s">
        <v>365</v>
      </c>
      <c r="E261" s="89" t="s">
        <v>366</v>
      </c>
      <c r="F261" s="89" t="s">
        <v>367</v>
      </c>
      <c r="G261" s="97" t="s">
        <v>384</v>
      </c>
      <c r="H261" s="97" t="s">
        <v>386</v>
      </c>
      <c r="I261" s="97" t="s">
        <v>383</v>
      </c>
      <c r="J261" s="97" t="s">
        <v>385</v>
      </c>
    </row>
    <row r="262" spans="1:14" x14ac:dyDescent="0.3">
      <c r="A262" s="629"/>
      <c r="B262" s="629"/>
      <c r="C262" s="99" t="s">
        <v>32</v>
      </c>
      <c r="D262" s="89" t="str">
        <f>C262</f>
        <v>g</v>
      </c>
      <c r="E262" s="89" t="str">
        <f>D262</f>
        <v>g</v>
      </c>
      <c r="F262" s="89" t="str">
        <f>E262</f>
        <v>g</v>
      </c>
      <c r="G262" s="61">
        <f>'2 kg.'!$C$8</f>
        <v>7700</v>
      </c>
      <c r="H262" s="61">
        <f>'2 kg.'!$C$17</f>
        <v>100</v>
      </c>
      <c r="I262" s="61">
        <f>'2 kg.'!$C$24</f>
        <v>0.1</v>
      </c>
      <c r="J262" s="61">
        <f>'2 kg.'!$C$29</f>
        <v>0.1</v>
      </c>
    </row>
    <row r="263" spans="1:14" x14ac:dyDescent="0.3">
      <c r="A263" s="629"/>
      <c r="B263" s="629"/>
      <c r="C263" s="113"/>
      <c r="D263" s="114"/>
      <c r="E263" s="114"/>
      <c r="F263" s="114"/>
      <c r="G263" s="66" t="s">
        <v>368</v>
      </c>
      <c r="H263" s="67" t="s">
        <v>369</v>
      </c>
      <c r="I263" s="67" t="s">
        <v>373</v>
      </c>
      <c r="J263" s="102"/>
    </row>
    <row r="264" spans="1:14" x14ac:dyDescent="0.3">
      <c r="A264" s="629"/>
      <c r="B264" s="629"/>
      <c r="C264" s="115"/>
      <c r="D264" s="114"/>
      <c r="E264" s="114"/>
      <c r="F264" s="116"/>
      <c r="G264" s="62" t="s">
        <v>370</v>
      </c>
      <c r="H264" s="52">
        <v>19.7</v>
      </c>
      <c r="I264" s="52">
        <v>19.899999999999999</v>
      </c>
      <c r="J264" s="69" t="s">
        <v>7</v>
      </c>
    </row>
    <row r="265" spans="1:14" x14ac:dyDescent="0.3">
      <c r="A265" s="629"/>
      <c r="B265" s="629"/>
      <c r="C265" s="115"/>
      <c r="D265" s="114"/>
      <c r="E265" s="114"/>
      <c r="F265" s="116"/>
      <c r="G265" s="62" t="s">
        <v>371</v>
      </c>
      <c r="H265" s="52">
        <v>59.2</v>
      </c>
      <c r="I265" s="54">
        <v>56.4</v>
      </c>
      <c r="J265" s="70" t="s">
        <v>42</v>
      </c>
    </row>
    <row r="266" spans="1:14" x14ac:dyDescent="0.3">
      <c r="A266" s="629"/>
      <c r="B266" s="629"/>
      <c r="C266" s="113"/>
      <c r="D266" s="114"/>
      <c r="E266" s="114"/>
      <c r="F266" s="114"/>
      <c r="G266" s="71" t="s">
        <v>372</v>
      </c>
      <c r="H266" s="52">
        <v>1001</v>
      </c>
      <c r="I266" s="52">
        <v>1001</v>
      </c>
      <c r="J266" s="72" t="s">
        <v>374</v>
      </c>
    </row>
    <row r="267" spans="1:14" x14ac:dyDescent="0.3">
      <c r="A267" s="55"/>
      <c r="B267" s="55"/>
      <c r="C267" s="55"/>
      <c r="D267" s="55"/>
      <c r="E267" s="55"/>
      <c r="F267" s="55"/>
      <c r="G267" s="55"/>
      <c r="H267" s="55"/>
      <c r="I267" s="55"/>
      <c r="J267" s="55"/>
    </row>
    <row r="268" spans="1:14" x14ac:dyDescent="0.3">
      <c r="A268" s="629">
        <v>16</v>
      </c>
      <c r="B268" s="629"/>
      <c r="C268" s="624" t="s">
        <v>360</v>
      </c>
      <c r="D268" s="626"/>
      <c r="E268" s="94" t="s">
        <v>376</v>
      </c>
      <c r="F268" s="94" t="s">
        <v>377</v>
      </c>
      <c r="G268" s="94" t="s">
        <v>16</v>
      </c>
      <c r="H268" s="94" t="s">
        <v>361</v>
      </c>
      <c r="I268" s="94" t="s">
        <v>362</v>
      </c>
      <c r="J268" s="94" t="s">
        <v>36</v>
      </c>
    </row>
    <row r="269" spans="1:14" ht="23.25" customHeight="1" x14ac:dyDescent="0.3">
      <c r="A269" s="629"/>
      <c r="B269" s="629"/>
      <c r="C269" s="622" t="s">
        <v>28</v>
      </c>
      <c r="D269" s="623"/>
      <c r="E269" s="83">
        <f>'5 kg'!$I$7</f>
        <v>0</v>
      </c>
      <c r="F269" s="84">
        <f>'5 kg'!$I$7+'5 kg'!$I$8</f>
        <v>0</v>
      </c>
      <c r="G269" s="83">
        <f>'5 kg'!$I$15</f>
        <v>0</v>
      </c>
      <c r="H269" s="85">
        <f>'5 kg'!$I$10</f>
        <v>0</v>
      </c>
      <c r="I269" s="83">
        <f>'5 kg'!$I$11</f>
        <v>0</v>
      </c>
      <c r="J269" s="85">
        <f>'5 kg'!$I$16</f>
        <v>0</v>
      </c>
      <c r="L269" s="63" t="s">
        <v>353</v>
      </c>
      <c r="M269" s="618" t="s">
        <v>480</v>
      </c>
      <c r="N269" s="619"/>
    </row>
    <row r="270" spans="1:14" ht="18.75" customHeight="1" x14ac:dyDescent="0.3">
      <c r="A270" s="629"/>
      <c r="B270" s="629"/>
      <c r="C270" s="622" t="s">
        <v>28</v>
      </c>
      <c r="D270" s="623"/>
      <c r="E270" s="83">
        <f>'5 kg'!$J$7</f>
        <v>0</v>
      </c>
      <c r="F270" s="84">
        <f>'5 kg'!$J$7+'5 kg'!$J$8</f>
        <v>0</v>
      </c>
      <c r="G270" s="83">
        <f>'5 kg'!$J$15</f>
        <v>0</v>
      </c>
      <c r="H270" s="85">
        <f>'5 kg'!$J$10</f>
        <v>0</v>
      </c>
      <c r="I270" s="83">
        <f>'5 kg'!$J$11</f>
        <v>0</v>
      </c>
      <c r="J270" s="85">
        <f>'5 kg'!$J$16</f>
        <v>0</v>
      </c>
      <c r="L270" s="63" t="s">
        <v>387</v>
      </c>
      <c r="M270" s="620" t="s">
        <v>355</v>
      </c>
      <c r="N270" s="620"/>
    </row>
    <row r="271" spans="1:14" ht="21.6" customHeight="1" x14ac:dyDescent="0.3">
      <c r="A271" s="629"/>
      <c r="B271" s="629"/>
      <c r="C271" s="622" t="s">
        <v>28</v>
      </c>
      <c r="D271" s="623"/>
      <c r="E271" s="83">
        <f>'5 kg'!$K$7</f>
        <v>0</v>
      </c>
      <c r="F271" s="84">
        <f>'5 kg'!$K$7+'5 kg'!$K$8</f>
        <v>0</v>
      </c>
      <c r="G271" s="83">
        <f>'5 kg'!$K$15</f>
        <v>0</v>
      </c>
      <c r="H271" s="85">
        <f>'5 kg'!$K$10</f>
        <v>0</v>
      </c>
      <c r="I271" s="83">
        <f>'5 kg'!$K$11</f>
        <v>0</v>
      </c>
      <c r="J271" s="85">
        <f>'5 kg'!$K$16</f>
        <v>0</v>
      </c>
      <c r="L271" s="63" t="s">
        <v>388</v>
      </c>
      <c r="M271" s="621" t="s">
        <v>26</v>
      </c>
      <c r="N271" s="621"/>
    </row>
    <row r="272" spans="1:14" ht="20.25" customHeight="1" x14ac:dyDescent="0.3">
      <c r="A272" s="629"/>
      <c r="B272" s="629"/>
      <c r="C272" s="622" t="s">
        <v>28</v>
      </c>
      <c r="D272" s="623"/>
      <c r="E272" s="83">
        <f>'5 kg'!$L$7</f>
        <v>0</v>
      </c>
      <c r="F272" s="84">
        <f>'5 kg'!$L$7+'5 kg'!$L$8</f>
        <v>0</v>
      </c>
      <c r="G272" s="83">
        <f>'5 kg'!$L$15</f>
        <v>0</v>
      </c>
      <c r="H272" s="85">
        <f>'5 kg'!$L$10</f>
        <v>0</v>
      </c>
      <c r="I272" s="83">
        <f>'5 kg'!$L$11</f>
        <v>0</v>
      </c>
      <c r="J272" s="85">
        <f>'5 kg'!$L$16</f>
        <v>0</v>
      </c>
    </row>
    <row r="273" spans="1:14" ht="19.5" customHeight="1" x14ac:dyDescent="0.3">
      <c r="A273" s="629"/>
      <c r="B273" s="629"/>
      <c r="C273" s="622" t="s">
        <v>28</v>
      </c>
      <c r="D273" s="623"/>
      <c r="E273" s="86">
        <f>'5 kg'!$M$7</f>
        <v>0</v>
      </c>
      <c r="F273" s="87">
        <f>'5 kg'!$M$7+'5 kg'!$M$8</f>
        <v>0</v>
      </c>
      <c r="G273" s="85">
        <f>'5 kg'!$M$15</f>
        <v>0</v>
      </c>
      <c r="H273" s="85">
        <f>'5 kg'!$M$10</f>
        <v>0</v>
      </c>
      <c r="I273" s="83">
        <f>'5 kg'!$M$11</f>
        <v>0</v>
      </c>
      <c r="J273" s="85">
        <f>'5 kg'!$M$16</f>
        <v>0</v>
      </c>
    </row>
    <row r="274" spans="1:14" ht="26.25" customHeight="1" x14ac:dyDescent="0.3">
      <c r="A274" s="629"/>
      <c r="B274" s="629"/>
      <c r="C274" s="622" t="s">
        <v>28</v>
      </c>
      <c r="D274" s="623"/>
      <c r="E274" s="86">
        <f>'5 kg'!$N$7</f>
        <v>0</v>
      </c>
      <c r="F274" s="87">
        <f>'5 kg'!$N$7+'5 kg'!$N$8</f>
        <v>0</v>
      </c>
      <c r="G274" s="85">
        <f>'5 kg'!$N$15</f>
        <v>0</v>
      </c>
      <c r="H274" s="88">
        <f>'5 kg'!$N$10</f>
        <v>0</v>
      </c>
      <c r="I274" s="83">
        <f>'5 kg'!$N$11</f>
        <v>0</v>
      </c>
      <c r="J274" s="85">
        <f>'5 kg'!$N$16</f>
        <v>0</v>
      </c>
    </row>
    <row r="275" spans="1:14" ht="21.75" customHeight="1" x14ac:dyDescent="0.3">
      <c r="A275" s="629"/>
      <c r="B275" s="629"/>
      <c r="C275" s="622" t="s">
        <v>28</v>
      </c>
      <c r="D275" s="623"/>
      <c r="E275" s="86">
        <f>'5 kg'!$O$7</f>
        <v>0</v>
      </c>
      <c r="F275" s="87">
        <f>'5 kg'!$O$7+'5 kg'!$O$8</f>
        <v>0</v>
      </c>
      <c r="G275" s="85">
        <f>'5 kg'!$O$15</f>
        <v>0</v>
      </c>
      <c r="H275" s="85">
        <f>'5 kg'!$O$10</f>
        <v>0</v>
      </c>
      <c r="I275" s="85">
        <f>'5 kg'!$O$11</f>
        <v>0</v>
      </c>
      <c r="J275" s="85">
        <f>'5 kg'!$O$16</f>
        <v>0</v>
      </c>
    </row>
    <row r="276" spans="1:14" ht="24" customHeight="1" x14ac:dyDescent="0.3">
      <c r="A276" s="629"/>
      <c r="B276" s="629"/>
      <c r="C276" s="95" t="s">
        <v>378</v>
      </c>
      <c r="D276" s="570" t="s">
        <v>79</v>
      </c>
      <c r="E276" s="90">
        <f>'5 kg'!$R$24</f>
        <v>200</v>
      </c>
      <c r="F276" s="91">
        <f>'5 kg'!$R$24+'5 kg'!$R$25</f>
        <v>200.00001599999999</v>
      </c>
      <c r="G276" s="96" t="s">
        <v>379</v>
      </c>
      <c r="H276" s="96" t="s">
        <v>380</v>
      </c>
      <c r="I276" s="96" t="s">
        <v>381</v>
      </c>
      <c r="J276" s="96" t="s">
        <v>382</v>
      </c>
    </row>
    <row r="277" spans="1:14" ht="26.25" customHeight="1" x14ac:dyDescent="0.3">
      <c r="A277" s="629"/>
      <c r="B277" s="629"/>
      <c r="C277" s="624" t="s">
        <v>363</v>
      </c>
      <c r="D277" s="625"/>
      <c r="E277" s="56">
        <v>0</v>
      </c>
      <c r="F277" s="57" t="s">
        <v>782</v>
      </c>
      <c r="G277" s="539" t="s">
        <v>205</v>
      </c>
      <c r="H277" s="539" t="s">
        <v>91</v>
      </c>
      <c r="I277" s="627" t="s">
        <v>739</v>
      </c>
      <c r="J277" s="627"/>
    </row>
    <row r="278" spans="1:14" ht="14.25" customHeight="1" x14ac:dyDescent="0.3">
      <c r="A278" s="629"/>
      <c r="B278" s="629"/>
      <c r="C278" s="98" t="s">
        <v>364</v>
      </c>
      <c r="D278" s="89" t="s">
        <v>365</v>
      </c>
      <c r="E278" s="89" t="s">
        <v>366</v>
      </c>
      <c r="F278" s="89" t="s">
        <v>367</v>
      </c>
      <c r="G278" s="97" t="s">
        <v>384</v>
      </c>
      <c r="H278" s="97" t="s">
        <v>386</v>
      </c>
      <c r="I278" s="97" t="s">
        <v>383</v>
      </c>
      <c r="J278" s="97" t="s">
        <v>385</v>
      </c>
    </row>
    <row r="279" spans="1:14" x14ac:dyDescent="0.3">
      <c r="A279" s="629"/>
      <c r="B279" s="629"/>
      <c r="C279" s="99" t="s">
        <v>32</v>
      </c>
      <c r="D279" s="89" t="str">
        <f>C279</f>
        <v>g</v>
      </c>
      <c r="E279" s="89" t="str">
        <f>D279</f>
        <v>g</v>
      </c>
      <c r="F279" s="89" t="str">
        <f>E279</f>
        <v>g</v>
      </c>
      <c r="G279" s="61">
        <f>'5 kg'!$C$8</f>
        <v>7700</v>
      </c>
      <c r="H279" s="61">
        <f>'5 kg'!$C$17</f>
        <v>100</v>
      </c>
      <c r="I279" s="61">
        <f>'5 kg'!$C$24</f>
        <v>0.1</v>
      </c>
      <c r="J279" s="61">
        <f>'5 kg'!$C$29</f>
        <v>0.1</v>
      </c>
    </row>
    <row r="280" spans="1:14" x14ac:dyDescent="0.3">
      <c r="A280" s="629"/>
      <c r="B280" s="629"/>
      <c r="C280" s="113"/>
      <c r="D280" s="113"/>
      <c r="E280" s="114"/>
      <c r="F280" s="114"/>
      <c r="G280" s="66" t="s">
        <v>368</v>
      </c>
      <c r="H280" s="67" t="s">
        <v>369</v>
      </c>
      <c r="I280" s="67" t="s">
        <v>373</v>
      </c>
      <c r="J280" s="102"/>
    </row>
    <row r="281" spans="1:14" x14ac:dyDescent="0.3">
      <c r="A281" s="629"/>
      <c r="B281" s="629"/>
      <c r="C281" s="113"/>
      <c r="D281" s="113"/>
      <c r="E281" s="114"/>
      <c r="F281" s="114"/>
      <c r="G281" s="62" t="s">
        <v>370</v>
      </c>
      <c r="H281" s="77">
        <v>20</v>
      </c>
      <c r="I281" s="52">
        <v>19.8</v>
      </c>
      <c r="J281" s="69" t="s">
        <v>7</v>
      </c>
    </row>
    <row r="282" spans="1:14" x14ac:dyDescent="0.3">
      <c r="A282" s="629"/>
      <c r="B282" s="629"/>
      <c r="C282" s="113"/>
      <c r="D282" s="113"/>
      <c r="E282" s="114"/>
      <c r="F282" s="114"/>
      <c r="G282" s="62" t="s">
        <v>371</v>
      </c>
      <c r="H282" s="52">
        <v>51.3</v>
      </c>
      <c r="I282" s="54">
        <v>55.8</v>
      </c>
      <c r="J282" s="70" t="s">
        <v>42</v>
      </c>
    </row>
    <row r="283" spans="1:14" x14ac:dyDescent="0.3">
      <c r="A283" s="629"/>
      <c r="B283" s="629"/>
      <c r="C283" s="113"/>
      <c r="D283" s="113"/>
      <c r="E283" s="114"/>
      <c r="F283" s="114"/>
      <c r="G283" s="71" t="s">
        <v>372</v>
      </c>
      <c r="H283" s="52">
        <v>1001</v>
      </c>
      <c r="I283" s="52">
        <v>1001</v>
      </c>
      <c r="J283" s="72" t="s">
        <v>374</v>
      </c>
    </row>
    <row r="284" spans="1:14" x14ac:dyDescent="0.3">
      <c r="A284" s="55"/>
      <c r="B284" s="55"/>
      <c r="C284" s="55"/>
      <c r="D284" s="55"/>
      <c r="E284" s="55"/>
      <c r="F284" s="55"/>
      <c r="G284" s="55"/>
      <c r="H284" s="55"/>
      <c r="I284" s="55"/>
      <c r="J284" s="55"/>
    </row>
    <row r="285" spans="1:14" x14ac:dyDescent="0.3">
      <c r="A285" s="629">
        <v>17</v>
      </c>
      <c r="B285" s="629"/>
      <c r="C285" s="624" t="s">
        <v>360</v>
      </c>
      <c r="D285" s="626"/>
      <c r="E285" s="94" t="s">
        <v>376</v>
      </c>
      <c r="F285" s="94" t="s">
        <v>377</v>
      </c>
      <c r="G285" s="94" t="s">
        <v>16</v>
      </c>
      <c r="H285" s="94" t="s">
        <v>361</v>
      </c>
      <c r="I285" s="94" t="s">
        <v>362</v>
      </c>
      <c r="J285" s="94" t="s">
        <v>36</v>
      </c>
    </row>
    <row r="286" spans="1:14" ht="24" customHeight="1" x14ac:dyDescent="0.3">
      <c r="A286" s="629"/>
      <c r="B286" s="629"/>
      <c r="C286" s="622" t="s">
        <v>28</v>
      </c>
      <c r="D286" s="623"/>
      <c r="E286" s="83">
        <f>'10 kg'!$I$7</f>
        <v>0</v>
      </c>
      <c r="F286" s="84">
        <f>'10 kg'!$I$7+'10 kg'!$I$8</f>
        <v>0</v>
      </c>
      <c r="G286" s="83">
        <f>'10 kg'!$I$15</f>
        <v>0</v>
      </c>
      <c r="H286" s="85">
        <f>'10 kg'!$I$10</f>
        <v>0</v>
      </c>
      <c r="I286" s="83">
        <f>'10 kg'!$I$11</f>
        <v>0</v>
      </c>
      <c r="J286" s="85">
        <f>'10 kg'!$I$16</f>
        <v>0</v>
      </c>
      <c r="L286" s="63" t="s">
        <v>353</v>
      </c>
      <c r="M286" s="618" t="s">
        <v>480</v>
      </c>
      <c r="N286" s="619"/>
    </row>
    <row r="287" spans="1:14" ht="21.75" customHeight="1" x14ac:dyDescent="0.3">
      <c r="A287" s="629"/>
      <c r="B287" s="629"/>
      <c r="C287" s="622" t="s">
        <v>28</v>
      </c>
      <c r="D287" s="623"/>
      <c r="E287" s="83">
        <f>'10 kg'!$J$7</f>
        <v>0</v>
      </c>
      <c r="F287" s="84">
        <f>'10 kg'!$J$7+'10 kg'!$J$8</f>
        <v>0</v>
      </c>
      <c r="G287" s="83">
        <f>'10 kg'!$J$15</f>
        <v>0</v>
      </c>
      <c r="H287" s="85">
        <f>'10 kg'!$J$10</f>
        <v>0</v>
      </c>
      <c r="I287" s="83">
        <f>'10 kg'!$J$11</f>
        <v>0</v>
      </c>
      <c r="J287" s="85">
        <f>'10 kg'!$J$16</f>
        <v>0</v>
      </c>
      <c r="L287" s="63" t="s">
        <v>387</v>
      </c>
      <c r="M287" s="620" t="s">
        <v>355</v>
      </c>
      <c r="N287" s="620"/>
    </row>
    <row r="288" spans="1:14" ht="21.75" customHeight="1" x14ac:dyDescent="0.3">
      <c r="A288" s="629"/>
      <c r="B288" s="629"/>
      <c r="C288" s="622" t="s">
        <v>28</v>
      </c>
      <c r="D288" s="623"/>
      <c r="E288" s="83">
        <f>'10 kg'!$K$7</f>
        <v>0</v>
      </c>
      <c r="F288" s="84">
        <f>'10 kg'!$K$7+'10 kg'!$K$8</f>
        <v>0</v>
      </c>
      <c r="G288" s="83">
        <f>'10 kg'!$K$15</f>
        <v>0</v>
      </c>
      <c r="H288" s="85">
        <f>'10 kg'!$K$10</f>
        <v>0</v>
      </c>
      <c r="I288" s="83">
        <f>'10 kg'!$K$11</f>
        <v>0</v>
      </c>
      <c r="J288" s="85">
        <f>'10 kg'!$K$16</f>
        <v>0</v>
      </c>
      <c r="L288" s="63" t="s">
        <v>388</v>
      </c>
      <c r="M288" s="621" t="s">
        <v>26</v>
      </c>
      <c r="N288" s="621"/>
    </row>
    <row r="289" spans="1:14" ht="23.25" customHeight="1" x14ac:dyDescent="0.3">
      <c r="A289" s="629"/>
      <c r="B289" s="629"/>
      <c r="C289" s="622" t="s">
        <v>28</v>
      </c>
      <c r="D289" s="623"/>
      <c r="E289" s="83">
        <f>'10 kg'!$L$7</f>
        <v>0</v>
      </c>
      <c r="F289" s="84">
        <f>'10 kg'!$L$7+'10 kg'!$L$8</f>
        <v>0</v>
      </c>
      <c r="G289" s="83">
        <f>'10 kg'!$L$15</f>
        <v>0</v>
      </c>
      <c r="H289" s="85">
        <f>'10 kg'!$L$10</f>
        <v>0</v>
      </c>
      <c r="I289" s="83">
        <f>'10 kg'!$L$11</f>
        <v>0</v>
      </c>
      <c r="J289" s="85">
        <f>'10 kg'!$L$16</f>
        <v>0</v>
      </c>
    </row>
    <row r="290" spans="1:14" ht="21.75" customHeight="1" x14ac:dyDescent="0.3">
      <c r="A290" s="629"/>
      <c r="B290" s="629"/>
      <c r="C290" s="622" t="s">
        <v>28</v>
      </c>
      <c r="D290" s="623"/>
      <c r="E290" s="86">
        <f>'10 kg'!$M$7</f>
        <v>0</v>
      </c>
      <c r="F290" s="87">
        <f>'10 kg'!$M$7+'10 kg'!$M$8</f>
        <v>0</v>
      </c>
      <c r="G290" s="85">
        <f>'10 kg'!$M$15</f>
        <v>0</v>
      </c>
      <c r="H290" s="85">
        <f>'10 kg'!$M$10</f>
        <v>0</v>
      </c>
      <c r="I290" s="83">
        <f>'10 kg'!$M$11</f>
        <v>0</v>
      </c>
      <c r="J290" s="85">
        <f>'10 kg'!$M$16</f>
        <v>0</v>
      </c>
    </row>
    <row r="291" spans="1:14" ht="27.75" customHeight="1" x14ac:dyDescent="0.3">
      <c r="A291" s="629"/>
      <c r="B291" s="629"/>
      <c r="C291" s="622" t="s">
        <v>28</v>
      </c>
      <c r="D291" s="623"/>
      <c r="E291" s="86">
        <f>'10 kg'!$N$7</f>
        <v>0</v>
      </c>
      <c r="F291" s="87">
        <f>'10 kg'!$N$7+'10 kg'!$N$8</f>
        <v>0</v>
      </c>
      <c r="G291" s="85">
        <f>'10 kg'!$N$15</f>
        <v>0</v>
      </c>
      <c r="H291" s="88">
        <f>'10 kg'!$N$10</f>
        <v>0</v>
      </c>
      <c r="I291" s="83">
        <f>'10 kg'!$N$11</f>
        <v>0</v>
      </c>
      <c r="J291" s="85">
        <f>'10 kg'!$N$16</f>
        <v>0</v>
      </c>
    </row>
    <row r="292" spans="1:14" ht="20.25" customHeight="1" x14ac:dyDescent="0.3">
      <c r="A292" s="629"/>
      <c r="B292" s="629"/>
      <c r="C292" s="622" t="s">
        <v>28</v>
      </c>
      <c r="D292" s="623"/>
      <c r="E292" s="86">
        <f>'10 kg'!$O$7</f>
        <v>0</v>
      </c>
      <c r="F292" s="87">
        <f>'10 kg'!$O$7+'10 kg'!$O$8</f>
        <v>0</v>
      </c>
      <c r="G292" s="85">
        <f>'10 kg'!$O$15</f>
        <v>0</v>
      </c>
      <c r="H292" s="85">
        <f>'10 kg'!$O$10</f>
        <v>0</v>
      </c>
      <c r="I292" s="85">
        <f>'10 kg'!$O$11</f>
        <v>0</v>
      </c>
      <c r="J292" s="85">
        <f>'10 kg'!$O$16</f>
        <v>0</v>
      </c>
    </row>
    <row r="293" spans="1:14" ht="26.25" customHeight="1" x14ac:dyDescent="0.3">
      <c r="A293" s="629"/>
      <c r="B293" s="629"/>
      <c r="C293" s="95" t="s">
        <v>378</v>
      </c>
      <c r="D293" s="570" t="s">
        <v>79</v>
      </c>
      <c r="E293" s="90">
        <f>'10 kg'!$R$24</f>
        <v>200</v>
      </c>
      <c r="F293" s="91">
        <f>'10 kg'!$R$24+'10 kg'!$R$25</f>
        <v>200.00001599999999</v>
      </c>
      <c r="G293" s="101" t="s">
        <v>379</v>
      </c>
      <c r="H293" s="101" t="s">
        <v>380</v>
      </c>
      <c r="I293" s="101" t="s">
        <v>381</v>
      </c>
      <c r="J293" s="101" t="s">
        <v>382</v>
      </c>
    </row>
    <row r="294" spans="1:14" ht="18" customHeight="1" x14ac:dyDescent="0.3">
      <c r="A294" s="629"/>
      <c r="B294" s="629"/>
      <c r="C294" s="624" t="s">
        <v>363</v>
      </c>
      <c r="D294" s="625"/>
      <c r="E294" s="56">
        <v>0</v>
      </c>
      <c r="F294" s="57" t="s">
        <v>32</v>
      </c>
      <c r="G294" s="539" t="s">
        <v>205</v>
      </c>
      <c r="H294" s="539" t="s">
        <v>91</v>
      </c>
      <c r="I294" s="627" t="s">
        <v>739</v>
      </c>
      <c r="J294" s="627"/>
    </row>
    <row r="295" spans="1:14" ht="17.25" customHeight="1" x14ac:dyDescent="0.3">
      <c r="A295" s="629"/>
      <c r="B295" s="629"/>
      <c r="C295" s="98" t="s">
        <v>364</v>
      </c>
      <c r="D295" s="89" t="s">
        <v>365</v>
      </c>
      <c r="E295" s="89" t="s">
        <v>366</v>
      </c>
      <c r="F295" s="89" t="s">
        <v>367</v>
      </c>
      <c r="G295" s="97" t="s">
        <v>384</v>
      </c>
      <c r="H295" s="97" t="s">
        <v>386</v>
      </c>
      <c r="I295" s="97" t="s">
        <v>383</v>
      </c>
      <c r="J295" s="97" t="s">
        <v>385</v>
      </c>
    </row>
    <row r="296" spans="1:14" x14ac:dyDescent="0.3">
      <c r="A296" s="629"/>
      <c r="B296" s="629"/>
      <c r="C296" s="99" t="s">
        <v>32</v>
      </c>
      <c r="D296" s="89" t="str">
        <f>C296</f>
        <v>g</v>
      </c>
      <c r="E296" s="89" t="str">
        <f>D296</f>
        <v>g</v>
      </c>
      <c r="F296" s="89" t="str">
        <f>E296</f>
        <v>g</v>
      </c>
      <c r="G296" s="61">
        <f>'10 kg'!$C$8</f>
        <v>7700</v>
      </c>
      <c r="H296" s="61">
        <f>'10 kg'!$C$17</f>
        <v>100</v>
      </c>
      <c r="I296" s="61">
        <f>'10 kg'!$C$24</f>
        <v>0.1</v>
      </c>
      <c r="J296" s="61">
        <f>'10 kg'!$C$29</f>
        <v>0.1</v>
      </c>
    </row>
    <row r="297" spans="1:14" x14ac:dyDescent="0.3">
      <c r="A297" s="629"/>
      <c r="B297" s="629"/>
      <c r="C297" s="107"/>
      <c r="D297" s="107"/>
      <c r="E297" s="108"/>
      <c r="F297" s="108"/>
      <c r="G297" s="66" t="s">
        <v>368</v>
      </c>
      <c r="H297" s="67" t="s">
        <v>369</v>
      </c>
      <c r="I297" s="67" t="s">
        <v>373</v>
      </c>
      <c r="J297" s="102"/>
    </row>
    <row r="298" spans="1:14" x14ac:dyDescent="0.3">
      <c r="A298" s="629"/>
      <c r="B298" s="629"/>
      <c r="C298" s="107"/>
      <c r="D298" s="107"/>
      <c r="E298" s="108"/>
      <c r="F298" s="108"/>
      <c r="G298" s="62" t="s">
        <v>370</v>
      </c>
      <c r="H298" s="52">
        <v>20.2</v>
      </c>
      <c r="I298" s="52">
        <v>20.3</v>
      </c>
      <c r="J298" s="69" t="s">
        <v>7</v>
      </c>
    </row>
    <row r="299" spans="1:14" x14ac:dyDescent="0.3">
      <c r="A299" s="629"/>
      <c r="B299" s="629"/>
      <c r="C299" s="107"/>
      <c r="D299" s="107"/>
      <c r="E299" s="108"/>
      <c r="F299" s="108"/>
      <c r="G299" s="62" t="s">
        <v>371</v>
      </c>
      <c r="H299" s="52">
        <v>59.9</v>
      </c>
      <c r="I299" s="54">
        <v>59.2</v>
      </c>
      <c r="J299" s="70" t="s">
        <v>42</v>
      </c>
    </row>
    <row r="300" spans="1:14" x14ac:dyDescent="0.3">
      <c r="A300" s="629"/>
      <c r="B300" s="629"/>
      <c r="C300" s="107"/>
      <c r="D300" s="107"/>
      <c r="E300" s="108"/>
      <c r="F300" s="108"/>
      <c r="G300" s="71" t="s">
        <v>372</v>
      </c>
      <c r="H300" s="52">
        <v>1001</v>
      </c>
      <c r="I300" s="52">
        <v>1001</v>
      </c>
      <c r="J300" s="72" t="s">
        <v>374</v>
      </c>
    </row>
    <row r="301" spans="1:14" x14ac:dyDescent="0.3">
      <c r="A301" s="55"/>
      <c r="B301" s="55"/>
      <c r="C301" s="55"/>
      <c r="D301" s="55"/>
      <c r="E301" s="55"/>
      <c r="F301" s="55"/>
      <c r="G301" s="55"/>
      <c r="H301" s="55"/>
      <c r="I301" s="55"/>
      <c r="J301" s="55"/>
    </row>
    <row r="302" spans="1:14" x14ac:dyDescent="0.3">
      <c r="A302" s="629">
        <v>18</v>
      </c>
      <c r="B302" s="629"/>
      <c r="C302" s="624" t="s">
        <v>360</v>
      </c>
      <c r="D302" s="626"/>
      <c r="E302" s="94" t="s">
        <v>376</v>
      </c>
      <c r="F302" s="94" t="s">
        <v>377</v>
      </c>
      <c r="G302" s="94" t="s">
        <v>16</v>
      </c>
      <c r="H302" s="94" t="s">
        <v>361</v>
      </c>
      <c r="I302" s="94" t="s">
        <v>362</v>
      </c>
      <c r="J302" s="94" t="s">
        <v>36</v>
      </c>
    </row>
    <row r="303" spans="1:14" ht="27.75" customHeight="1" x14ac:dyDescent="0.3">
      <c r="A303" s="629"/>
      <c r="B303" s="629"/>
      <c r="C303" s="622" t="s">
        <v>28</v>
      </c>
      <c r="D303" s="623"/>
      <c r="E303" s="83">
        <f>'20 kg'!$I$7</f>
        <v>0</v>
      </c>
      <c r="F303" s="84">
        <f>'20 kg'!$I$7+'20 kg'!$I$8</f>
        <v>0</v>
      </c>
      <c r="G303" s="83">
        <f>'20 kg'!$I$15</f>
        <v>0</v>
      </c>
      <c r="H303" s="85">
        <f>'20 kg'!$I$10</f>
        <v>0</v>
      </c>
      <c r="I303" s="83">
        <f>'20 kg'!$I$11</f>
        <v>0</v>
      </c>
      <c r="J303" s="85">
        <f>'20 kg'!$I$16</f>
        <v>0</v>
      </c>
      <c r="L303" s="63" t="s">
        <v>353</v>
      </c>
      <c r="M303" s="618" t="s">
        <v>480</v>
      </c>
      <c r="N303" s="619"/>
    </row>
    <row r="304" spans="1:14" ht="18" customHeight="1" x14ac:dyDescent="0.3">
      <c r="A304" s="629"/>
      <c r="B304" s="629"/>
      <c r="C304" s="622" t="s">
        <v>28</v>
      </c>
      <c r="D304" s="623"/>
      <c r="E304" s="83">
        <f>'20 kg'!$J$7</f>
        <v>0</v>
      </c>
      <c r="F304" s="84">
        <f>'20 kg'!$J$7+'20 kg'!$J$8</f>
        <v>0</v>
      </c>
      <c r="G304" s="83">
        <f>'20 kg'!$J$15</f>
        <v>0</v>
      </c>
      <c r="H304" s="85">
        <f>'20 kg'!$J$10</f>
        <v>0</v>
      </c>
      <c r="I304" s="83">
        <f>'20 kg'!$J$11</f>
        <v>0</v>
      </c>
      <c r="J304" s="85">
        <f>'20 kg'!$J$16</f>
        <v>0</v>
      </c>
      <c r="L304" s="63" t="s">
        <v>387</v>
      </c>
      <c r="M304" s="620" t="s">
        <v>355</v>
      </c>
      <c r="N304" s="620"/>
    </row>
    <row r="305" spans="1:14" ht="23.25" customHeight="1" x14ac:dyDescent="0.3">
      <c r="A305" s="629"/>
      <c r="B305" s="629"/>
      <c r="C305" s="622" t="s">
        <v>28</v>
      </c>
      <c r="D305" s="623"/>
      <c r="E305" s="83">
        <f>'20 kg'!$K$7</f>
        <v>0</v>
      </c>
      <c r="F305" s="84">
        <f>'20 kg'!$K$7+'20 kg'!$K$8</f>
        <v>0</v>
      </c>
      <c r="G305" s="83">
        <f>'20 kg'!$K$15</f>
        <v>0</v>
      </c>
      <c r="H305" s="85">
        <f>'20 kg'!$K$10</f>
        <v>0</v>
      </c>
      <c r="I305" s="83">
        <f>'20 kg'!$K$11</f>
        <v>0</v>
      </c>
      <c r="J305" s="85">
        <f>'20 kg'!$K$16</f>
        <v>0</v>
      </c>
      <c r="L305" s="63" t="s">
        <v>388</v>
      </c>
      <c r="M305" s="621" t="s">
        <v>26</v>
      </c>
      <c r="N305" s="621"/>
    </row>
    <row r="306" spans="1:14" ht="23.25" customHeight="1" x14ac:dyDescent="0.3">
      <c r="A306" s="629"/>
      <c r="B306" s="629"/>
      <c r="C306" s="622" t="s">
        <v>28</v>
      </c>
      <c r="D306" s="623"/>
      <c r="E306" s="83">
        <f>'20 kg'!$L$7</f>
        <v>0</v>
      </c>
      <c r="F306" s="84">
        <f>'20 kg'!$L$7+'20 kg'!$L$8</f>
        <v>0</v>
      </c>
      <c r="G306" s="83">
        <f>'20 kg'!$L$15</f>
        <v>0</v>
      </c>
      <c r="H306" s="85">
        <f>'20 kg'!$L$10</f>
        <v>0</v>
      </c>
      <c r="I306" s="83">
        <f>'20 kg'!$L$11</f>
        <v>0</v>
      </c>
      <c r="J306" s="85">
        <f>'20 kg'!$L$16</f>
        <v>0</v>
      </c>
    </row>
    <row r="307" spans="1:14" ht="23.25" customHeight="1" x14ac:dyDescent="0.3">
      <c r="A307" s="629"/>
      <c r="B307" s="629"/>
      <c r="C307" s="622" t="s">
        <v>28</v>
      </c>
      <c r="D307" s="623"/>
      <c r="E307" s="86">
        <f>'20 kg'!$M$7</f>
        <v>0</v>
      </c>
      <c r="F307" s="87">
        <f>'20 kg'!$M$7+'20 kg'!$M$8</f>
        <v>0</v>
      </c>
      <c r="G307" s="85">
        <f>'20 kg'!$M$15</f>
        <v>0</v>
      </c>
      <c r="H307" s="85">
        <f>'20 kg'!$M$10</f>
        <v>0</v>
      </c>
      <c r="I307" s="83">
        <f>'20 kg'!$M$11</f>
        <v>0</v>
      </c>
      <c r="J307" s="85">
        <f>'20 kg'!$M$16</f>
        <v>0</v>
      </c>
    </row>
    <row r="308" spans="1:14" ht="25.5" customHeight="1" x14ac:dyDescent="0.3">
      <c r="A308" s="629"/>
      <c r="B308" s="629"/>
      <c r="C308" s="622" t="s">
        <v>28</v>
      </c>
      <c r="D308" s="623"/>
      <c r="E308" s="86">
        <f>'20 kg'!$N$7</f>
        <v>0</v>
      </c>
      <c r="F308" s="87">
        <f>'20 kg'!$N$7+'20 kg'!$N$8</f>
        <v>0</v>
      </c>
      <c r="G308" s="85">
        <f>'20 kg'!$N$15</f>
        <v>0</v>
      </c>
      <c r="H308" s="88">
        <f>'20 kg'!$N$10</f>
        <v>0</v>
      </c>
      <c r="I308" s="83">
        <f>'20 kg'!$N$11</f>
        <v>0</v>
      </c>
      <c r="J308" s="85">
        <f>'20 kg'!$N$16</f>
        <v>0</v>
      </c>
    </row>
    <row r="309" spans="1:14" ht="18.75" customHeight="1" x14ac:dyDescent="0.3">
      <c r="A309" s="629"/>
      <c r="B309" s="629"/>
      <c r="C309" s="622" t="s">
        <v>28</v>
      </c>
      <c r="D309" s="623"/>
      <c r="E309" s="86">
        <f>'20 kg'!$O$7</f>
        <v>0</v>
      </c>
      <c r="F309" s="87">
        <f>'20 kg'!$O$7+'20 kg'!$O$8</f>
        <v>0</v>
      </c>
      <c r="G309" s="85">
        <f>'20 kg'!$O$15</f>
        <v>0</v>
      </c>
      <c r="H309" s="85">
        <f>'20 kg'!$O$10</f>
        <v>0</v>
      </c>
      <c r="I309" s="85">
        <f>'20 kg'!$O$11</f>
        <v>0</v>
      </c>
      <c r="J309" s="85">
        <f>'20 kg'!$O$16</f>
        <v>0</v>
      </c>
    </row>
    <row r="310" spans="1:14" ht="27" customHeight="1" x14ac:dyDescent="0.3">
      <c r="A310" s="629"/>
      <c r="B310" s="629"/>
      <c r="C310" s="95" t="s">
        <v>378</v>
      </c>
      <c r="D310" s="570" t="s">
        <v>79</v>
      </c>
      <c r="E310" s="90">
        <f>'20 kg'!$R$24</f>
        <v>200</v>
      </c>
      <c r="F310" s="91">
        <f>'20 kg'!$R$24+'20 kg'!$R$25</f>
        <v>200.00001599999999</v>
      </c>
      <c r="G310" s="101" t="s">
        <v>379</v>
      </c>
      <c r="H310" s="101" t="s">
        <v>380</v>
      </c>
      <c r="I310" s="101" t="s">
        <v>381</v>
      </c>
      <c r="J310" s="101" t="s">
        <v>382</v>
      </c>
    </row>
    <row r="311" spans="1:14" ht="22.5" customHeight="1" x14ac:dyDescent="0.3">
      <c r="A311" s="629"/>
      <c r="B311" s="629"/>
      <c r="C311" s="624" t="s">
        <v>363</v>
      </c>
      <c r="D311" s="625"/>
      <c r="E311" s="56">
        <v>0</v>
      </c>
      <c r="F311" s="57" t="s">
        <v>32</v>
      </c>
      <c r="G311" s="539" t="s">
        <v>205</v>
      </c>
      <c r="H311" s="539" t="s">
        <v>91</v>
      </c>
      <c r="I311" s="627" t="s">
        <v>739</v>
      </c>
      <c r="J311" s="627"/>
    </row>
    <row r="312" spans="1:14" ht="15" x14ac:dyDescent="0.3">
      <c r="A312" s="629"/>
      <c r="B312" s="629"/>
      <c r="C312" s="98" t="s">
        <v>364</v>
      </c>
      <c r="D312" s="89" t="s">
        <v>365</v>
      </c>
      <c r="E312" s="89" t="s">
        <v>366</v>
      </c>
      <c r="F312" s="89" t="s">
        <v>367</v>
      </c>
      <c r="G312" s="97" t="s">
        <v>384</v>
      </c>
      <c r="H312" s="97" t="s">
        <v>386</v>
      </c>
      <c r="I312" s="97" t="s">
        <v>383</v>
      </c>
      <c r="J312" s="97" t="s">
        <v>385</v>
      </c>
    </row>
    <row r="313" spans="1:14" x14ac:dyDescent="0.3">
      <c r="A313" s="629"/>
      <c r="B313" s="629"/>
      <c r="C313" s="99" t="s">
        <v>32</v>
      </c>
      <c r="D313" s="89" t="str">
        <f>C313</f>
        <v>g</v>
      </c>
      <c r="E313" s="89" t="str">
        <f>D313</f>
        <v>g</v>
      </c>
      <c r="F313" s="89" t="str">
        <f>E313</f>
        <v>g</v>
      </c>
      <c r="G313" s="61">
        <f>'20 kg'!$C$8</f>
        <v>7700</v>
      </c>
      <c r="H313" s="61">
        <f>'20 kg'!$C$17</f>
        <v>100</v>
      </c>
      <c r="I313" s="61">
        <f>'20 kg'!$C$24</f>
        <v>0.1</v>
      </c>
      <c r="J313" s="61">
        <f>'20 kg'!$C$29</f>
        <v>0.1</v>
      </c>
    </row>
    <row r="314" spans="1:14" x14ac:dyDescent="0.3">
      <c r="A314" s="629"/>
      <c r="B314" s="629"/>
      <c r="C314" s="107"/>
      <c r="D314" s="107"/>
      <c r="E314" s="108"/>
      <c r="F314" s="108"/>
      <c r="G314" s="66" t="s">
        <v>368</v>
      </c>
      <c r="H314" s="67" t="s">
        <v>369</v>
      </c>
      <c r="I314" s="67" t="s">
        <v>373</v>
      </c>
      <c r="J314" s="102"/>
    </row>
    <row r="315" spans="1:14" x14ac:dyDescent="0.3">
      <c r="A315" s="629"/>
      <c r="B315" s="629"/>
      <c r="C315" s="107"/>
      <c r="D315" s="107"/>
      <c r="E315" s="108"/>
      <c r="F315" s="108"/>
      <c r="G315" s="62" t="s">
        <v>370</v>
      </c>
      <c r="H315" s="52">
        <v>20.2</v>
      </c>
      <c r="I315" s="52">
        <v>20.2</v>
      </c>
      <c r="J315" s="69" t="s">
        <v>7</v>
      </c>
    </row>
    <row r="316" spans="1:14" x14ac:dyDescent="0.3">
      <c r="A316" s="629"/>
      <c r="B316" s="629"/>
      <c r="C316" s="107"/>
      <c r="D316" s="107"/>
      <c r="E316" s="108"/>
      <c r="F316" s="108"/>
      <c r="G316" s="62" t="s">
        <v>371</v>
      </c>
      <c r="H316" s="52">
        <v>61.4</v>
      </c>
      <c r="I316" s="54">
        <v>55.2</v>
      </c>
      <c r="J316" s="70" t="s">
        <v>42</v>
      </c>
    </row>
    <row r="317" spans="1:14" x14ac:dyDescent="0.3">
      <c r="A317" s="629"/>
      <c r="B317" s="629"/>
      <c r="C317" s="107"/>
      <c r="D317" s="107"/>
      <c r="E317" s="108"/>
      <c r="F317" s="108"/>
      <c r="G317" s="71" t="s">
        <v>372</v>
      </c>
      <c r="H317" s="52">
        <v>1001</v>
      </c>
      <c r="I317" s="52">
        <v>1001</v>
      </c>
      <c r="J317" s="72" t="s">
        <v>374</v>
      </c>
    </row>
    <row r="318" spans="1:14" x14ac:dyDescent="0.3">
      <c r="A318" s="55"/>
      <c r="B318" s="55"/>
      <c r="C318" s="55"/>
      <c r="D318" s="55"/>
      <c r="E318" s="55"/>
      <c r="F318" s="55"/>
      <c r="G318" s="55"/>
      <c r="H318" s="55"/>
      <c r="I318" s="55"/>
      <c r="J318" s="55"/>
    </row>
    <row r="319" spans="1:14" x14ac:dyDescent="0.3">
      <c r="A319" s="629">
        <v>19</v>
      </c>
      <c r="B319" s="629"/>
      <c r="C319" s="624" t="s">
        <v>360</v>
      </c>
      <c r="D319" s="626"/>
      <c r="E319" s="94" t="s">
        <v>376</v>
      </c>
      <c r="F319" s="94" t="s">
        <v>377</v>
      </c>
      <c r="G319" s="94" t="s">
        <v>16</v>
      </c>
      <c r="H319" s="94" t="s">
        <v>361</v>
      </c>
      <c r="I319" s="94" t="s">
        <v>362</v>
      </c>
      <c r="J319" s="94" t="s">
        <v>36</v>
      </c>
    </row>
    <row r="320" spans="1:14" ht="23.25" customHeight="1" x14ac:dyDescent="0.3">
      <c r="A320" s="629"/>
      <c r="B320" s="629"/>
      <c r="C320" s="622" t="s">
        <v>28</v>
      </c>
      <c r="D320" s="623"/>
      <c r="E320" s="83">
        <f>'20 kg.'!$I$7</f>
        <v>0</v>
      </c>
      <c r="F320" s="84">
        <f>'20 kg.'!$I$7+'20 kg.'!$I$8</f>
        <v>0</v>
      </c>
      <c r="G320" s="83">
        <f>'20 kg.'!$I$15</f>
        <v>0</v>
      </c>
      <c r="H320" s="85">
        <f>'20 kg.'!$I$10</f>
        <v>0</v>
      </c>
      <c r="I320" s="83">
        <f>'20 kg.'!$I$11</f>
        <v>0</v>
      </c>
      <c r="J320" s="85">
        <f>'20 kg'!$I$16</f>
        <v>0</v>
      </c>
      <c r="L320" s="63" t="s">
        <v>353</v>
      </c>
      <c r="M320" s="618" t="s">
        <v>480</v>
      </c>
      <c r="N320" s="619"/>
    </row>
    <row r="321" spans="1:14" ht="21.75" customHeight="1" x14ac:dyDescent="0.3">
      <c r="A321" s="629"/>
      <c r="B321" s="629"/>
      <c r="C321" s="622" t="s">
        <v>28</v>
      </c>
      <c r="D321" s="623"/>
      <c r="E321" s="83">
        <f>'20 kg.'!$J$7</f>
        <v>0</v>
      </c>
      <c r="F321" s="84">
        <f>'20 kg.'!$J$7+'20 kg.'!$J$8</f>
        <v>0</v>
      </c>
      <c r="G321" s="83">
        <f>'20 kg.'!$J$15</f>
        <v>0</v>
      </c>
      <c r="H321" s="85">
        <f>'20 kg.'!$J$10</f>
        <v>0</v>
      </c>
      <c r="I321" s="83">
        <f>'20 kg.'!$J$11</f>
        <v>0</v>
      </c>
      <c r="J321" s="85">
        <f>'20 kg'!$J$16</f>
        <v>0</v>
      </c>
      <c r="L321" s="63" t="s">
        <v>387</v>
      </c>
      <c r="M321" s="620" t="s">
        <v>355</v>
      </c>
      <c r="N321" s="620"/>
    </row>
    <row r="322" spans="1:14" ht="25.5" customHeight="1" x14ac:dyDescent="0.3">
      <c r="A322" s="629"/>
      <c r="B322" s="629"/>
      <c r="C322" s="622" t="s">
        <v>28</v>
      </c>
      <c r="D322" s="623"/>
      <c r="E322" s="83">
        <f>'20 kg.'!$K$7</f>
        <v>0</v>
      </c>
      <c r="F322" s="84">
        <f>'20 kg.'!$K$7+'20 kg.'!$K$8</f>
        <v>0</v>
      </c>
      <c r="G322" s="83">
        <f>'20 kg.'!$K$15</f>
        <v>0</v>
      </c>
      <c r="H322" s="85">
        <f>'20 kg.'!$K$10</f>
        <v>0</v>
      </c>
      <c r="I322" s="83">
        <f>'20 kg.'!$K$11</f>
        <v>0</v>
      </c>
      <c r="J322" s="85">
        <f>'20 kg'!$K$16</f>
        <v>0</v>
      </c>
      <c r="L322" s="63" t="s">
        <v>388</v>
      </c>
      <c r="M322" s="621" t="s">
        <v>26</v>
      </c>
      <c r="N322" s="621"/>
    </row>
    <row r="323" spans="1:14" ht="20.25" customHeight="1" x14ac:dyDescent="0.3">
      <c r="A323" s="629"/>
      <c r="B323" s="629"/>
      <c r="C323" s="622" t="s">
        <v>28</v>
      </c>
      <c r="D323" s="623"/>
      <c r="E323" s="83">
        <f>'20 kg.'!$L$7</f>
        <v>0</v>
      </c>
      <c r="F323" s="84">
        <f>'20 kg.'!$L$7+'20 kg.'!$L$8</f>
        <v>0</v>
      </c>
      <c r="G323" s="83">
        <f>'20 kg.'!$L$15</f>
        <v>0</v>
      </c>
      <c r="H323" s="85">
        <f>'20 kg.'!$L$10</f>
        <v>0</v>
      </c>
      <c r="I323" s="83">
        <f>'20 kg.'!$L$11</f>
        <v>0</v>
      </c>
      <c r="J323" s="85">
        <f>'20 kg'!$L$16</f>
        <v>0</v>
      </c>
    </row>
    <row r="324" spans="1:14" ht="22.5" customHeight="1" x14ac:dyDescent="0.3">
      <c r="A324" s="629"/>
      <c r="B324" s="629"/>
      <c r="C324" s="622" t="s">
        <v>28</v>
      </c>
      <c r="D324" s="623"/>
      <c r="E324" s="86">
        <f>'20 kg.'!$M$7</f>
        <v>0</v>
      </c>
      <c r="F324" s="87">
        <f>'20 kg.'!$M$7+'20 kg.'!$M$8</f>
        <v>0</v>
      </c>
      <c r="G324" s="85">
        <f>'20 kg.'!$M$15</f>
        <v>0</v>
      </c>
      <c r="H324" s="85">
        <f>'20 kg.'!$M$10</f>
        <v>0</v>
      </c>
      <c r="I324" s="83">
        <f>'20 kg.'!$M$11</f>
        <v>0</v>
      </c>
      <c r="J324" s="85">
        <f>'20 kg'!$M$16</f>
        <v>0</v>
      </c>
    </row>
    <row r="325" spans="1:14" ht="28.5" customHeight="1" x14ac:dyDescent="0.3">
      <c r="A325" s="629"/>
      <c r="B325" s="629"/>
      <c r="C325" s="622" t="s">
        <v>28</v>
      </c>
      <c r="D325" s="623"/>
      <c r="E325" s="86">
        <f>'20 kg.'!$N$7</f>
        <v>0</v>
      </c>
      <c r="F325" s="87">
        <f>'20 kg.'!$N$7+'20 kg.'!$N$8</f>
        <v>0</v>
      </c>
      <c r="G325" s="85">
        <f>'20 kg.'!$N$15</f>
        <v>0</v>
      </c>
      <c r="H325" s="88">
        <f>'20 kg.'!$N$10</f>
        <v>0</v>
      </c>
      <c r="I325" s="83">
        <f>'20 kg.'!$N$11</f>
        <v>0</v>
      </c>
      <c r="J325" s="85">
        <f>'20 kg'!$N$16</f>
        <v>0</v>
      </c>
    </row>
    <row r="326" spans="1:14" ht="21.75" customHeight="1" x14ac:dyDescent="0.3">
      <c r="A326" s="629"/>
      <c r="B326" s="629"/>
      <c r="C326" s="622" t="s">
        <v>28</v>
      </c>
      <c r="D326" s="623"/>
      <c r="E326" s="86">
        <f>'20 kg.'!$O$7</f>
        <v>0</v>
      </c>
      <c r="F326" s="87">
        <f>'20 kg.'!$O$7+'20 kg.'!$O$8</f>
        <v>0</v>
      </c>
      <c r="G326" s="85">
        <f>'20 kg.'!$O$15</f>
        <v>0</v>
      </c>
      <c r="H326" s="85">
        <f>'20 kg.'!$O$10</f>
        <v>0</v>
      </c>
      <c r="I326" s="85">
        <f>'20 kg.'!$O$11</f>
        <v>0</v>
      </c>
      <c r="J326" s="85">
        <f>'20 kg'!$O$16</f>
        <v>0</v>
      </c>
    </row>
    <row r="327" spans="1:14" ht="29.25" customHeight="1" x14ac:dyDescent="0.3">
      <c r="A327" s="629"/>
      <c r="B327" s="629"/>
      <c r="C327" s="95" t="s">
        <v>378</v>
      </c>
      <c r="D327" s="570" t="s">
        <v>79</v>
      </c>
      <c r="E327" s="90">
        <f>'20 kg.'!$R$24</f>
        <v>200</v>
      </c>
      <c r="F327" s="91">
        <f>'20 kg.'!$R$24+'20 kg.'!$R$25</f>
        <v>200.00001599999999</v>
      </c>
      <c r="G327" s="101" t="s">
        <v>379</v>
      </c>
      <c r="H327" s="101" t="s">
        <v>380</v>
      </c>
      <c r="I327" s="101" t="s">
        <v>381</v>
      </c>
      <c r="J327" s="101" t="s">
        <v>382</v>
      </c>
    </row>
    <row r="328" spans="1:14" ht="19.5" customHeight="1" x14ac:dyDescent="0.3">
      <c r="A328" s="629"/>
      <c r="B328" s="629"/>
      <c r="C328" s="624" t="s">
        <v>363</v>
      </c>
      <c r="D328" s="625"/>
      <c r="E328" s="56">
        <v>0</v>
      </c>
      <c r="F328" s="57" t="s">
        <v>782</v>
      </c>
      <c r="G328" s="539" t="s">
        <v>205</v>
      </c>
      <c r="H328" s="539" t="s">
        <v>91</v>
      </c>
      <c r="I328" s="627" t="s">
        <v>739</v>
      </c>
      <c r="J328" s="627"/>
    </row>
    <row r="329" spans="1:14" ht="15.75" customHeight="1" x14ac:dyDescent="0.3">
      <c r="A329" s="629"/>
      <c r="B329" s="629"/>
      <c r="C329" s="98" t="s">
        <v>364</v>
      </c>
      <c r="D329" s="89" t="s">
        <v>365</v>
      </c>
      <c r="E329" s="89" t="s">
        <v>366</v>
      </c>
      <c r="F329" s="89" t="s">
        <v>367</v>
      </c>
      <c r="G329" s="97" t="s">
        <v>384</v>
      </c>
      <c r="H329" s="97" t="s">
        <v>386</v>
      </c>
      <c r="I329" s="97" t="s">
        <v>383</v>
      </c>
      <c r="J329" s="97" t="s">
        <v>385</v>
      </c>
    </row>
    <row r="330" spans="1:14" x14ac:dyDescent="0.3">
      <c r="A330" s="629"/>
      <c r="B330" s="629"/>
      <c r="C330" s="99" t="s">
        <v>32</v>
      </c>
      <c r="D330" s="89" t="str">
        <f>C330</f>
        <v>g</v>
      </c>
      <c r="E330" s="89" t="str">
        <f>D330</f>
        <v>g</v>
      </c>
      <c r="F330" s="89" t="str">
        <f>E330</f>
        <v>g</v>
      </c>
      <c r="G330" s="61">
        <f>'20 kg.'!$C$8</f>
        <v>7700</v>
      </c>
      <c r="H330" s="61">
        <f>'20 kg.'!$C$17</f>
        <v>100</v>
      </c>
      <c r="I330" s="61">
        <f>'20 kg.'!$C$24</f>
        <v>0.1</v>
      </c>
      <c r="J330" s="61">
        <f>'20 kg.'!$C$29</f>
        <v>0.1</v>
      </c>
    </row>
    <row r="331" spans="1:14" x14ac:dyDescent="0.3">
      <c r="A331" s="629"/>
      <c r="B331" s="629"/>
      <c r="C331" s="111"/>
      <c r="D331" s="111"/>
      <c r="E331" s="111"/>
      <c r="F331" s="112"/>
      <c r="G331" s="66" t="s">
        <v>368</v>
      </c>
      <c r="H331" s="67" t="s">
        <v>369</v>
      </c>
      <c r="I331" s="67" t="s">
        <v>373</v>
      </c>
      <c r="J331" s="102"/>
    </row>
    <row r="332" spans="1:14" x14ac:dyDescent="0.3">
      <c r="A332" s="629"/>
      <c r="B332" s="629"/>
      <c r="C332" s="111"/>
      <c r="D332" s="111"/>
      <c r="E332" s="111"/>
      <c r="F332" s="112"/>
      <c r="G332" s="62" t="s">
        <v>370</v>
      </c>
      <c r="H332" s="52">
        <v>20</v>
      </c>
      <c r="I332" s="52">
        <v>19.8</v>
      </c>
      <c r="J332" s="69" t="s">
        <v>7</v>
      </c>
    </row>
    <row r="333" spans="1:14" x14ac:dyDescent="0.3">
      <c r="A333" s="629"/>
      <c r="B333" s="629"/>
      <c r="C333" s="111"/>
      <c r="D333" s="111"/>
      <c r="E333" s="111"/>
      <c r="F333" s="112"/>
      <c r="G333" s="62" t="s">
        <v>371</v>
      </c>
      <c r="H333" s="77">
        <v>51.3</v>
      </c>
      <c r="I333" s="54">
        <v>55.8</v>
      </c>
      <c r="J333" s="70" t="s">
        <v>42</v>
      </c>
    </row>
    <row r="334" spans="1:14" x14ac:dyDescent="0.3">
      <c r="A334" s="629"/>
      <c r="B334" s="629"/>
      <c r="C334" s="111"/>
      <c r="D334" s="111"/>
      <c r="E334" s="111"/>
      <c r="F334" s="112"/>
      <c r="G334" s="71" t="s">
        <v>372</v>
      </c>
      <c r="H334" s="52">
        <v>1001</v>
      </c>
      <c r="I334" s="52">
        <v>1001</v>
      </c>
      <c r="J334" s="72" t="s">
        <v>374</v>
      </c>
    </row>
    <row r="335" spans="1:14" x14ac:dyDescent="0.3">
      <c r="A335" s="55"/>
      <c r="B335" s="55"/>
      <c r="C335" s="55"/>
      <c r="D335" s="55"/>
      <c r="E335" s="55"/>
      <c r="F335" s="55"/>
      <c r="G335" s="55"/>
      <c r="H335" s="55"/>
      <c r="I335" s="55"/>
      <c r="J335" s="55"/>
    </row>
    <row r="336" spans="1:14" x14ac:dyDescent="0.3">
      <c r="A336" s="629">
        <v>20</v>
      </c>
      <c r="B336" s="629"/>
      <c r="C336" s="624" t="s">
        <v>360</v>
      </c>
      <c r="D336" s="626"/>
      <c r="E336" s="94" t="s">
        <v>376</v>
      </c>
      <c r="F336" s="94" t="s">
        <v>377</v>
      </c>
      <c r="G336" s="94" t="s">
        <v>16</v>
      </c>
      <c r="H336" s="94" t="s">
        <v>361</v>
      </c>
      <c r="I336" s="94" t="s">
        <v>362</v>
      </c>
      <c r="J336" s="94" t="s">
        <v>36</v>
      </c>
    </row>
    <row r="337" spans="1:14" ht="24" customHeight="1" x14ac:dyDescent="0.3">
      <c r="A337" s="629"/>
      <c r="B337" s="629"/>
      <c r="C337" s="622" t="s">
        <v>28</v>
      </c>
      <c r="D337" s="623"/>
      <c r="E337" s="83">
        <f>'50 kg'!$I$7</f>
        <v>0</v>
      </c>
      <c r="F337" s="84">
        <f>'50 kg'!$I$7+'50 kg'!$I$8</f>
        <v>0</v>
      </c>
      <c r="G337" s="83">
        <f>'50 kg'!$I$15</f>
        <v>0</v>
      </c>
      <c r="H337" s="85">
        <f>'50 kg'!$I$10</f>
        <v>0</v>
      </c>
      <c r="I337" s="83">
        <f>'50 kg'!$I$11</f>
        <v>0</v>
      </c>
      <c r="J337" s="85">
        <f>'50 kg'!$I$16</f>
        <v>0</v>
      </c>
      <c r="L337" s="63" t="s">
        <v>353</v>
      </c>
      <c r="M337" s="618" t="s">
        <v>480</v>
      </c>
      <c r="N337" s="619"/>
    </row>
    <row r="338" spans="1:14" ht="18.75" customHeight="1" x14ac:dyDescent="0.3">
      <c r="A338" s="629"/>
      <c r="B338" s="629"/>
      <c r="C338" s="622" t="s">
        <v>28</v>
      </c>
      <c r="D338" s="623"/>
      <c r="E338" s="83">
        <f>'50 kg'!$J$7</f>
        <v>0</v>
      </c>
      <c r="F338" s="84">
        <f>'50 kg'!$J$7+'50 kg'!$J$8</f>
        <v>0</v>
      </c>
      <c r="G338" s="83">
        <f>'50 kg'!$J$15</f>
        <v>0</v>
      </c>
      <c r="H338" s="85">
        <f>'50 kg'!$J$10</f>
        <v>0</v>
      </c>
      <c r="I338" s="83">
        <f>'50 kg'!$J$11</f>
        <v>0</v>
      </c>
      <c r="J338" s="85">
        <f>'50 kg'!$J$16</f>
        <v>0</v>
      </c>
      <c r="L338" s="63" t="s">
        <v>387</v>
      </c>
      <c r="M338" s="620" t="s">
        <v>355</v>
      </c>
      <c r="N338" s="620"/>
    </row>
    <row r="339" spans="1:14" ht="22.5" customHeight="1" x14ac:dyDescent="0.3">
      <c r="A339" s="629"/>
      <c r="B339" s="629"/>
      <c r="C339" s="622" t="s">
        <v>28</v>
      </c>
      <c r="D339" s="623"/>
      <c r="E339" s="83">
        <f>'50 kg'!$K$7</f>
        <v>0</v>
      </c>
      <c r="F339" s="84">
        <f>'50 kg'!$K$7+'50 kg'!$K$8</f>
        <v>0</v>
      </c>
      <c r="G339" s="83">
        <f>'50 kg'!$K$15</f>
        <v>0</v>
      </c>
      <c r="H339" s="85">
        <f>'50 kg'!$K$10</f>
        <v>0</v>
      </c>
      <c r="I339" s="83">
        <f>'50 kg'!$K$11</f>
        <v>0</v>
      </c>
      <c r="J339" s="85">
        <f>'50 kg'!$K$16</f>
        <v>0</v>
      </c>
      <c r="L339" s="63" t="s">
        <v>388</v>
      </c>
      <c r="M339" s="621" t="s">
        <v>26</v>
      </c>
      <c r="N339" s="621"/>
    </row>
    <row r="340" spans="1:14" ht="21" customHeight="1" x14ac:dyDescent="0.3">
      <c r="A340" s="629"/>
      <c r="B340" s="629"/>
      <c r="C340" s="622" t="s">
        <v>28</v>
      </c>
      <c r="D340" s="623"/>
      <c r="E340" s="83">
        <f>'50 kg'!$L$7</f>
        <v>0</v>
      </c>
      <c r="F340" s="84">
        <f>'50 kg'!$L$7+'50 kg'!$L$8</f>
        <v>0</v>
      </c>
      <c r="G340" s="83">
        <f>'50 kg'!$L$15</f>
        <v>0</v>
      </c>
      <c r="H340" s="85">
        <f>'50 kg'!$L$10</f>
        <v>0</v>
      </c>
      <c r="I340" s="83">
        <f>'50 kg'!$L$11</f>
        <v>0</v>
      </c>
      <c r="J340" s="85">
        <f>'50 kg'!$L$16</f>
        <v>0</v>
      </c>
    </row>
    <row r="341" spans="1:14" ht="21.75" customHeight="1" x14ac:dyDescent="0.3">
      <c r="A341" s="629"/>
      <c r="B341" s="629"/>
      <c r="C341" s="622" t="s">
        <v>28</v>
      </c>
      <c r="D341" s="623"/>
      <c r="E341" s="86">
        <f>'50 kg'!$M$7</f>
        <v>0</v>
      </c>
      <c r="F341" s="87">
        <f>'50 kg'!$M$7+'50 kg'!$M$8</f>
        <v>0</v>
      </c>
      <c r="G341" s="85">
        <f>'50 kg'!$M$15</f>
        <v>0</v>
      </c>
      <c r="H341" s="85">
        <f>'50 kg'!$M$10</f>
        <v>0</v>
      </c>
      <c r="I341" s="83">
        <f>'50 kg'!$M$11</f>
        <v>0</v>
      </c>
      <c r="J341" s="85">
        <f>'50 kg'!$M$16</f>
        <v>0</v>
      </c>
    </row>
    <row r="342" spans="1:14" ht="24" customHeight="1" x14ac:dyDescent="0.3">
      <c r="A342" s="629"/>
      <c r="B342" s="629"/>
      <c r="C342" s="622" t="s">
        <v>28</v>
      </c>
      <c r="D342" s="623"/>
      <c r="E342" s="86">
        <f>'50 kg'!$N$7</f>
        <v>0</v>
      </c>
      <c r="F342" s="87">
        <f>'50 kg'!$N$7+'50 kg'!$N$8</f>
        <v>0</v>
      </c>
      <c r="G342" s="85">
        <f>'50 kg'!$N$15</f>
        <v>0</v>
      </c>
      <c r="H342" s="88">
        <f>'50 kg'!$N$10</f>
        <v>0</v>
      </c>
      <c r="I342" s="83">
        <f>'50 kg'!$N$11</f>
        <v>0</v>
      </c>
      <c r="J342" s="85">
        <f>'50 kg'!$N$16</f>
        <v>0</v>
      </c>
    </row>
    <row r="343" spans="1:14" ht="22.5" customHeight="1" x14ac:dyDescent="0.3">
      <c r="A343" s="629"/>
      <c r="B343" s="629"/>
      <c r="C343" s="622" t="s">
        <v>28</v>
      </c>
      <c r="D343" s="623"/>
      <c r="E343" s="86">
        <f>'50 kg'!$O$7</f>
        <v>0</v>
      </c>
      <c r="F343" s="87">
        <f>'50 kg'!$O$7+'50 kg'!$O$8</f>
        <v>0</v>
      </c>
      <c r="G343" s="85">
        <f>'50 kg'!$O$15</f>
        <v>0</v>
      </c>
      <c r="H343" s="85">
        <f>'50 kg'!$O$10</f>
        <v>0</v>
      </c>
      <c r="I343" s="85">
        <f>'50 kg'!$O$11</f>
        <v>0</v>
      </c>
      <c r="J343" s="85">
        <f>'50 kg'!$O$16</f>
        <v>0</v>
      </c>
    </row>
    <row r="344" spans="1:14" ht="24.75" customHeight="1" x14ac:dyDescent="0.3">
      <c r="A344" s="629"/>
      <c r="B344" s="629"/>
      <c r="C344" s="95" t="s">
        <v>378</v>
      </c>
      <c r="D344" s="570" t="s">
        <v>79</v>
      </c>
      <c r="E344" s="90">
        <f>'50 kg'!$R$24</f>
        <v>200</v>
      </c>
      <c r="F344" s="91">
        <f>'50 kg'!$R$24+'50 kg'!$R$25</f>
        <v>200.00001599999999</v>
      </c>
      <c r="G344" s="101" t="s">
        <v>379</v>
      </c>
      <c r="H344" s="101" t="s">
        <v>380</v>
      </c>
      <c r="I344" s="101" t="s">
        <v>381</v>
      </c>
      <c r="J344" s="101" t="s">
        <v>382</v>
      </c>
    </row>
    <row r="345" spans="1:14" ht="19.5" customHeight="1" x14ac:dyDescent="0.3">
      <c r="A345" s="629"/>
      <c r="B345" s="629"/>
      <c r="C345" s="624" t="s">
        <v>363</v>
      </c>
      <c r="D345" s="625"/>
      <c r="E345" s="56">
        <v>0</v>
      </c>
      <c r="F345" s="57" t="s">
        <v>782</v>
      </c>
      <c r="G345" s="539" t="s">
        <v>205</v>
      </c>
      <c r="H345" s="539" t="s">
        <v>91</v>
      </c>
      <c r="I345" s="627" t="s">
        <v>739</v>
      </c>
      <c r="J345" s="627"/>
    </row>
    <row r="346" spans="1:14" ht="15" x14ac:dyDescent="0.3">
      <c r="A346" s="629"/>
      <c r="B346" s="629"/>
      <c r="C346" s="98" t="s">
        <v>364</v>
      </c>
      <c r="D346" s="89" t="s">
        <v>365</v>
      </c>
      <c r="E346" s="89" t="s">
        <v>366</v>
      </c>
      <c r="F346" s="89" t="s">
        <v>367</v>
      </c>
      <c r="G346" s="97" t="s">
        <v>384</v>
      </c>
      <c r="H346" s="97" t="s">
        <v>386</v>
      </c>
      <c r="I346" s="97" t="s">
        <v>383</v>
      </c>
      <c r="J346" s="97" t="s">
        <v>385</v>
      </c>
    </row>
    <row r="347" spans="1:14" ht="17.25" customHeight="1" x14ac:dyDescent="0.3">
      <c r="A347" s="629"/>
      <c r="B347" s="629"/>
      <c r="C347" s="99" t="s">
        <v>32</v>
      </c>
      <c r="D347" s="89" t="str">
        <f>C347</f>
        <v>g</v>
      </c>
      <c r="E347" s="89" t="str">
        <f>D347</f>
        <v>g</v>
      </c>
      <c r="F347" s="89" t="str">
        <f>E347</f>
        <v>g</v>
      </c>
      <c r="G347" s="61">
        <f>'50 kg'!$C$8</f>
        <v>7700</v>
      </c>
      <c r="H347" s="61">
        <f>'50 kg'!$C$17</f>
        <v>100</v>
      </c>
      <c r="I347" s="61">
        <f>'50 kg'!$C$24</f>
        <v>0.1</v>
      </c>
      <c r="J347" s="61">
        <f>'50 kg'!$C$29</f>
        <v>0.1</v>
      </c>
    </row>
    <row r="348" spans="1:14" x14ac:dyDescent="0.3">
      <c r="A348" s="629"/>
      <c r="B348" s="629"/>
      <c r="C348" s="111"/>
      <c r="D348" s="111"/>
      <c r="E348" s="112"/>
      <c r="F348" s="112"/>
      <c r="G348" s="66" t="s">
        <v>368</v>
      </c>
      <c r="H348" s="67" t="s">
        <v>369</v>
      </c>
      <c r="I348" s="67" t="s">
        <v>373</v>
      </c>
      <c r="J348" s="102"/>
    </row>
    <row r="349" spans="1:14" x14ac:dyDescent="0.3">
      <c r="A349" s="629"/>
      <c r="B349" s="629"/>
      <c r="C349" s="111"/>
      <c r="D349" s="111"/>
      <c r="E349" s="112"/>
      <c r="F349" s="112"/>
      <c r="G349" s="62" t="s">
        <v>370</v>
      </c>
      <c r="H349" s="52">
        <v>19.600000000000001</v>
      </c>
      <c r="I349" s="52">
        <v>20.100000000000001</v>
      </c>
      <c r="J349" s="69" t="s">
        <v>7</v>
      </c>
    </row>
    <row r="350" spans="1:14" x14ac:dyDescent="0.3">
      <c r="A350" s="629"/>
      <c r="B350" s="629"/>
      <c r="C350" s="111"/>
      <c r="D350" s="111"/>
      <c r="E350" s="112"/>
      <c r="F350" s="112"/>
      <c r="G350" s="62" t="s">
        <v>371</v>
      </c>
      <c r="H350" s="52">
        <v>51.1</v>
      </c>
      <c r="I350" s="54">
        <v>51.1</v>
      </c>
      <c r="J350" s="70" t="s">
        <v>42</v>
      </c>
    </row>
    <row r="351" spans="1:14" x14ac:dyDescent="0.3">
      <c r="A351" s="629"/>
      <c r="B351" s="629"/>
      <c r="C351" s="111"/>
      <c r="D351" s="111"/>
      <c r="E351" s="112"/>
      <c r="F351" s="112"/>
      <c r="G351" s="71" t="s">
        <v>372</v>
      </c>
      <c r="H351" s="52">
        <v>1001</v>
      </c>
      <c r="I351" s="52">
        <v>1001</v>
      </c>
      <c r="J351" s="72" t="s">
        <v>374</v>
      </c>
    </row>
    <row r="364" spans="3:7" x14ac:dyDescent="0.3">
      <c r="D364" s="51">
        <v>4</v>
      </c>
      <c r="E364" s="51">
        <v>4</v>
      </c>
      <c r="F364" s="51">
        <v>4</v>
      </c>
      <c r="G364" s="51">
        <v>4</v>
      </c>
    </row>
    <row r="365" spans="3:7" x14ac:dyDescent="0.3">
      <c r="D365" s="50" t="s">
        <v>388</v>
      </c>
      <c r="E365" s="51">
        <v>4</v>
      </c>
      <c r="F365" s="51">
        <v>4</v>
      </c>
    </row>
    <row r="366" spans="3:7" x14ac:dyDescent="0.3">
      <c r="C366">
        <v>1</v>
      </c>
      <c r="D366" s="59" t="s">
        <v>33</v>
      </c>
      <c r="E366" s="51">
        <v>4</v>
      </c>
      <c r="F366" s="51">
        <v>4</v>
      </c>
    </row>
    <row r="367" spans="3:7" x14ac:dyDescent="0.3">
      <c r="C367">
        <v>2</v>
      </c>
      <c r="D367" s="59" t="s">
        <v>34</v>
      </c>
      <c r="E367" s="51">
        <v>4</v>
      </c>
      <c r="F367" s="51">
        <v>4</v>
      </c>
    </row>
    <row r="368" spans="3:7" x14ac:dyDescent="0.3">
      <c r="C368">
        <v>3</v>
      </c>
      <c r="D368" s="59" t="s">
        <v>26</v>
      </c>
      <c r="E368" s="51">
        <v>4</v>
      </c>
      <c r="F368" s="51">
        <v>4</v>
      </c>
    </row>
    <row r="369" spans="1:6" x14ac:dyDescent="0.3">
      <c r="C369">
        <v>4</v>
      </c>
      <c r="D369" s="59" t="s">
        <v>31</v>
      </c>
      <c r="E369" s="51">
        <v>4</v>
      </c>
      <c r="F369" s="51">
        <v>4</v>
      </c>
    </row>
    <row r="370" spans="1:6" x14ac:dyDescent="0.3">
      <c r="C370">
        <v>5</v>
      </c>
      <c r="D370" s="59" t="s">
        <v>29</v>
      </c>
      <c r="E370" s="51">
        <v>4</v>
      </c>
      <c r="F370" s="51">
        <v>4</v>
      </c>
    </row>
    <row r="371" spans="1:6" x14ac:dyDescent="0.3">
      <c r="C371">
        <v>6</v>
      </c>
      <c r="D371" s="59" t="s">
        <v>30</v>
      </c>
      <c r="E371" s="51">
        <v>4</v>
      </c>
      <c r="F371" s="51">
        <v>4</v>
      </c>
    </row>
    <row r="372" spans="1:6" x14ac:dyDescent="0.3">
      <c r="C372">
        <v>7</v>
      </c>
      <c r="D372" s="59" t="s">
        <v>35</v>
      </c>
      <c r="E372" s="51">
        <v>4</v>
      </c>
      <c r="F372" s="51">
        <v>4</v>
      </c>
    </row>
    <row r="376" spans="1:6" x14ac:dyDescent="0.3">
      <c r="A376">
        <v>1</v>
      </c>
      <c r="B376" s="73" t="s">
        <v>389</v>
      </c>
    </row>
    <row r="377" spans="1:6" x14ac:dyDescent="0.3">
      <c r="A377">
        <v>2</v>
      </c>
      <c r="B377" s="73" t="s">
        <v>390</v>
      </c>
    </row>
    <row r="378" spans="1:6" x14ac:dyDescent="0.3">
      <c r="A378">
        <v>3</v>
      </c>
      <c r="B378" s="73" t="s">
        <v>391</v>
      </c>
    </row>
    <row r="379" spans="1:6" x14ac:dyDescent="0.3">
      <c r="A379">
        <v>4</v>
      </c>
      <c r="B379" s="73" t="s">
        <v>392</v>
      </c>
    </row>
    <row r="380" spans="1:6" x14ac:dyDescent="0.3">
      <c r="A380">
        <v>5</v>
      </c>
      <c r="B380" s="73" t="s">
        <v>393</v>
      </c>
    </row>
    <row r="381" spans="1:6" x14ac:dyDescent="0.3">
      <c r="A381">
        <v>6</v>
      </c>
      <c r="B381" s="73" t="s">
        <v>394</v>
      </c>
    </row>
    <row r="382" spans="1:6" x14ac:dyDescent="0.3">
      <c r="A382">
        <v>7</v>
      </c>
      <c r="B382" s="73" t="s">
        <v>395</v>
      </c>
    </row>
    <row r="383" spans="1:6" x14ac:dyDescent="0.3">
      <c r="A383">
        <v>89</v>
      </c>
      <c r="B383" s="73" t="s">
        <v>396</v>
      </c>
    </row>
    <row r="384" spans="1:6" x14ac:dyDescent="0.3">
      <c r="A384">
        <v>10</v>
      </c>
      <c r="B384" s="73" t="s">
        <v>397</v>
      </c>
    </row>
    <row r="385" spans="1:2" x14ac:dyDescent="0.3">
      <c r="A385">
        <v>11</v>
      </c>
      <c r="B385" s="73" t="s">
        <v>398</v>
      </c>
    </row>
    <row r="386" spans="1:2" ht="27" x14ac:dyDescent="0.3">
      <c r="A386">
        <v>12</v>
      </c>
      <c r="B386" s="74" t="s">
        <v>399</v>
      </c>
    </row>
    <row r="387" spans="1:2" ht="53.4" x14ac:dyDescent="0.3">
      <c r="A387">
        <v>13</v>
      </c>
      <c r="B387" s="74" t="s">
        <v>400</v>
      </c>
    </row>
    <row r="388" spans="1:2" ht="53.4" x14ac:dyDescent="0.3">
      <c r="A388">
        <v>14</v>
      </c>
      <c r="B388" s="74" t="s">
        <v>401</v>
      </c>
    </row>
    <row r="389" spans="1:2" x14ac:dyDescent="0.3">
      <c r="A389">
        <v>15</v>
      </c>
      <c r="B389" s="73" t="s">
        <v>402</v>
      </c>
    </row>
    <row r="390" spans="1:2" x14ac:dyDescent="0.3">
      <c r="A390">
        <v>16</v>
      </c>
      <c r="B390" s="73" t="s">
        <v>403</v>
      </c>
    </row>
    <row r="391" spans="1:2" x14ac:dyDescent="0.3">
      <c r="A391">
        <v>17</v>
      </c>
      <c r="B391" s="73" t="s">
        <v>404</v>
      </c>
    </row>
    <row r="392" spans="1:2" x14ac:dyDescent="0.3">
      <c r="A392">
        <v>18</v>
      </c>
      <c r="B392" s="73" t="s">
        <v>405</v>
      </c>
    </row>
    <row r="393" spans="1:2" x14ac:dyDescent="0.3">
      <c r="A393">
        <v>19</v>
      </c>
      <c r="B393" s="73" t="s">
        <v>406</v>
      </c>
    </row>
    <row r="394" spans="1:2" x14ac:dyDescent="0.3">
      <c r="A394">
        <v>20</v>
      </c>
      <c r="B394" s="73" t="s">
        <v>407</v>
      </c>
    </row>
    <row r="395" spans="1:2" x14ac:dyDescent="0.3">
      <c r="A395">
        <v>21</v>
      </c>
      <c r="B395" s="73" t="s">
        <v>408</v>
      </c>
    </row>
    <row r="396" spans="1:2" x14ac:dyDescent="0.3">
      <c r="A396">
        <v>22</v>
      </c>
      <c r="B396" s="73" t="s">
        <v>409</v>
      </c>
    </row>
    <row r="397" spans="1:2" x14ac:dyDescent="0.3">
      <c r="A397">
        <v>23</v>
      </c>
      <c r="B397" s="73" t="s">
        <v>410</v>
      </c>
    </row>
    <row r="398" spans="1:2" x14ac:dyDescent="0.3">
      <c r="A398">
        <v>24</v>
      </c>
      <c r="B398" s="73" t="s">
        <v>411</v>
      </c>
    </row>
    <row r="399" spans="1:2" x14ac:dyDescent="0.3">
      <c r="A399">
        <v>25</v>
      </c>
      <c r="B399" s="73" t="s">
        <v>412</v>
      </c>
    </row>
    <row r="400" spans="1:2" ht="40.200000000000003" x14ac:dyDescent="0.3">
      <c r="A400">
        <v>26</v>
      </c>
      <c r="B400" s="74" t="s">
        <v>413</v>
      </c>
    </row>
    <row r="401" spans="1:2" x14ac:dyDescent="0.3">
      <c r="A401">
        <v>27</v>
      </c>
      <c r="B401" s="73" t="s">
        <v>414</v>
      </c>
    </row>
    <row r="402" spans="1:2" x14ac:dyDescent="0.3">
      <c r="A402">
        <v>28</v>
      </c>
      <c r="B402" s="73" t="s">
        <v>415</v>
      </c>
    </row>
    <row r="403" spans="1:2" x14ac:dyDescent="0.3">
      <c r="A403">
        <v>29</v>
      </c>
      <c r="B403" s="73" t="s">
        <v>416</v>
      </c>
    </row>
    <row r="404" spans="1:2" x14ac:dyDescent="0.3">
      <c r="A404">
        <v>30</v>
      </c>
      <c r="B404" s="73" t="s">
        <v>417</v>
      </c>
    </row>
    <row r="405" spans="1:2" x14ac:dyDescent="0.3">
      <c r="A405">
        <v>31</v>
      </c>
      <c r="B405" s="73" t="s">
        <v>418</v>
      </c>
    </row>
    <row r="406" spans="1:2" x14ac:dyDescent="0.3">
      <c r="A406">
        <v>32</v>
      </c>
      <c r="B406" s="73" t="s">
        <v>419</v>
      </c>
    </row>
    <row r="407" spans="1:2" x14ac:dyDescent="0.3">
      <c r="A407">
        <v>33</v>
      </c>
      <c r="B407" s="73" t="s">
        <v>420</v>
      </c>
    </row>
    <row r="408" spans="1:2" x14ac:dyDescent="0.3">
      <c r="A408">
        <v>34</v>
      </c>
      <c r="B408" s="73" t="s">
        <v>421</v>
      </c>
    </row>
    <row r="409" spans="1:2" x14ac:dyDescent="0.3">
      <c r="A409">
        <v>35</v>
      </c>
      <c r="B409" s="73" t="s">
        <v>422</v>
      </c>
    </row>
    <row r="410" spans="1:2" x14ac:dyDescent="0.3">
      <c r="A410">
        <v>36</v>
      </c>
      <c r="B410" s="73" t="s">
        <v>423</v>
      </c>
    </row>
    <row r="411" spans="1:2" x14ac:dyDescent="0.3">
      <c r="A411">
        <v>37</v>
      </c>
      <c r="B411" s="73" t="s">
        <v>424</v>
      </c>
    </row>
    <row r="412" spans="1:2" x14ac:dyDescent="0.3">
      <c r="A412">
        <v>38</v>
      </c>
      <c r="B412" s="73" t="s">
        <v>425</v>
      </c>
    </row>
    <row r="413" spans="1:2" x14ac:dyDescent="0.3">
      <c r="A413">
        <v>39</v>
      </c>
      <c r="B413" s="73" t="s">
        <v>426</v>
      </c>
    </row>
    <row r="414" spans="1:2" x14ac:dyDescent="0.3">
      <c r="A414">
        <v>40</v>
      </c>
      <c r="B414" s="73" t="s">
        <v>427</v>
      </c>
    </row>
    <row r="415" spans="1:2" x14ac:dyDescent="0.3">
      <c r="A415">
        <v>41</v>
      </c>
      <c r="B415" s="73" t="s">
        <v>428</v>
      </c>
    </row>
    <row r="416" spans="1:2" x14ac:dyDescent="0.3">
      <c r="A416">
        <v>42</v>
      </c>
      <c r="B416" s="73" t="s">
        <v>429</v>
      </c>
    </row>
    <row r="417" spans="1:2" x14ac:dyDescent="0.3">
      <c r="A417">
        <v>43</v>
      </c>
      <c r="B417" s="73" t="s">
        <v>430</v>
      </c>
    </row>
    <row r="418" spans="1:2" x14ac:dyDescent="0.3">
      <c r="A418">
        <v>44</v>
      </c>
      <c r="B418" s="73" t="s">
        <v>431</v>
      </c>
    </row>
    <row r="419" spans="1:2" x14ac:dyDescent="0.3">
      <c r="A419">
        <v>45</v>
      </c>
      <c r="B419" s="73" t="s">
        <v>432</v>
      </c>
    </row>
    <row r="420" spans="1:2" x14ac:dyDescent="0.3">
      <c r="A420">
        <v>46</v>
      </c>
      <c r="B420" s="73" t="s">
        <v>433</v>
      </c>
    </row>
    <row r="421" spans="1:2" x14ac:dyDescent="0.3">
      <c r="A421">
        <v>47</v>
      </c>
      <c r="B421" s="73" t="s">
        <v>434</v>
      </c>
    </row>
    <row r="422" spans="1:2" x14ac:dyDescent="0.3">
      <c r="A422">
        <v>48</v>
      </c>
      <c r="B422" s="73" t="s">
        <v>435</v>
      </c>
    </row>
    <row r="423" spans="1:2" x14ac:dyDescent="0.3">
      <c r="A423">
        <v>49</v>
      </c>
      <c r="B423" s="73" t="s">
        <v>436</v>
      </c>
    </row>
    <row r="424" spans="1:2" x14ac:dyDescent="0.3">
      <c r="A424">
        <v>50</v>
      </c>
      <c r="B424" s="73" t="s">
        <v>437</v>
      </c>
    </row>
    <row r="425" spans="1:2" x14ac:dyDescent="0.3">
      <c r="A425">
        <v>51</v>
      </c>
      <c r="B425" s="73" t="s">
        <v>438</v>
      </c>
    </row>
    <row r="426" spans="1:2" x14ac:dyDescent="0.3">
      <c r="A426">
        <v>52</v>
      </c>
      <c r="B426" s="73" t="s">
        <v>439</v>
      </c>
    </row>
    <row r="427" spans="1:2" x14ac:dyDescent="0.3">
      <c r="A427">
        <v>53</v>
      </c>
      <c r="B427" s="73" t="s">
        <v>440</v>
      </c>
    </row>
    <row r="428" spans="1:2" x14ac:dyDescent="0.3">
      <c r="A428">
        <v>54</v>
      </c>
      <c r="B428" s="73" t="s">
        <v>441</v>
      </c>
    </row>
    <row r="429" spans="1:2" x14ac:dyDescent="0.3">
      <c r="A429">
        <v>55</v>
      </c>
      <c r="B429" s="73" t="s">
        <v>442</v>
      </c>
    </row>
    <row r="430" spans="1:2" x14ac:dyDescent="0.3">
      <c r="A430">
        <v>56</v>
      </c>
      <c r="B430" s="73" t="s">
        <v>443</v>
      </c>
    </row>
    <row r="431" spans="1:2" x14ac:dyDescent="0.3">
      <c r="A431">
        <v>57</v>
      </c>
      <c r="B431" s="73" t="s">
        <v>444</v>
      </c>
    </row>
    <row r="432" spans="1:2" x14ac:dyDescent="0.3">
      <c r="A432">
        <v>58</v>
      </c>
      <c r="B432" s="73" t="s">
        <v>445</v>
      </c>
    </row>
    <row r="433" spans="1:2" x14ac:dyDescent="0.3">
      <c r="A433">
        <v>59</v>
      </c>
      <c r="B433" s="73" t="s">
        <v>357</v>
      </c>
    </row>
    <row r="434" spans="1:2" x14ac:dyDescent="0.3">
      <c r="A434">
        <v>60</v>
      </c>
      <c r="B434" s="73" t="s">
        <v>446</v>
      </c>
    </row>
    <row r="435" spans="1:2" x14ac:dyDescent="0.3">
      <c r="A435">
        <v>61</v>
      </c>
      <c r="B435" s="73" t="s">
        <v>447</v>
      </c>
    </row>
    <row r="436" spans="1:2" x14ac:dyDescent="0.3">
      <c r="A436">
        <v>62</v>
      </c>
      <c r="B436" s="73" t="s">
        <v>448</v>
      </c>
    </row>
    <row r="437" spans="1:2" x14ac:dyDescent="0.3">
      <c r="A437">
        <v>63</v>
      </c>
      <c r="B437" s="73" t="s">
        <v>449</v>
      </c>
    </row>
    <row r="438" spans="1:2" x14ac:dyDescent="0.3">
      <c r="A438">
        <v>64</v>
      </c>
      <c r="B438" s="73" t="s">
        <v>450</v>
      </c>
    </row>
    <row r="439" spans="1:2" x14ac:dyDescent="0.3">
      <c r="A439">
        <v>65</v>
      </c>
      <c r="B439" s="73" t="s">
        <v>451</v>
      </c>
    </row>
    <row r="440" spans="1:2" x14ac:dyDescent="0.3">
      <c r="A440">
        <v>66</v>
      </c>
      <c r="B440" s="73" t="s">
        <v>452</v>
      </c>
    </row>
    <row r="441" spans="1:2" x14ac:dyDescent="0.3">
      <c r="A441">
        <v>67</v>
      </c>
      <c r="B441" s="73" t="s">
        <v>453</v>
      </c>
    </row>
    <row r="442" spans="1:2" x14ac:dyDescent="0.3">
      <c r="A442">
        <v>68</v>
      </c>
      <c r="B442" s="73" t="s">
        <v>454</v>
      </c>
    </row>
    <row r="443" spans="1:2" x14ac:dyDescent="0.3">
      <c r="A443">
        <v>69</v>
      </c>
      <c r="B443" s="73" t="s">
        <v>455</v>
      </c>
    </row>
    <row r="444" spans="1:2" x14ac:dyDescent="0.3">
      <c r="A444">
        <v>70</v>
      </c>
      <c r="B444" s="73" t="s">
        <v>456</v>
      </c>
    </row>
    <row r="445" spans="1:2" x14ac:dyDescent="0.3">
      <c r="A445">
        <v>71</v>
      </c>
      <c r="B445" s="73" t="s">
        <v>457</v>
      </c>
    </row>
    <row r="446" spans="1:2" x14ac:dyDescent="0.3">
      <c r="A446">
        <v>72</v>
      </c>
      <c r="B446" s="73" t="s">
        <v>458</v>
      </c>
    </row>
    <row r="447" spans="1:2" x14ac:dyDescent="0.3">
      <c r="A447">
        <v>73</v>
      </c>
      <c r="B447" s="73" t="s">
        <v>459</v>
      </c>
    </row>
    <row r="448" spans="1:2" x14ac:dyDescent="0.3">
      <c r="A448">
        <v>74</v>
      </c>
      <c r="B448" s="73" t="s">
        <v>460</v>
      </c>
    </row>
    <row r="449" spans="1:11" x14ac:dyDescent="0.3">
      <c r="A449">
        <v>75</v>
      </c>
      <c r="B449" s="73" t="s">
        <v>461</v>
      </c>
    </row>
    <row r="450" spans="1:11" x14ac:dyDescent="0.3">
      <c r="A450">
        <v>76</v>
      </c>
      <c r="B450" s="73" t="s">
        <v>462</v>
      </c>
    </row>
    <row r="451" spans="1:11" x14ac:dyDescent="0.3">
      <c r="A451">
        <v>77</v>
      </c>
      <c r="B451" s="73" t="s">
        <v>463</v>
      </c>
    </row>
    <row r="452" spans="1:11" x14ac:dyDescent="0.3">
      <c r="A452">
        <v>78</v>
      </c>
      <c r="B452" s="73" t="s">
        <v>464</v>
      </c>
    </row>
    <row r="457" spans="1:11" ht="15" x14ac:dyDescent="0.3">
      <c r="D457" s="615" t="s">
        <v>18</v>
      </c>
      <c r="E457" s="616"/>
      <c r="F457" s="616"/>
      <c r="G457" s="616"/>
      <c r="H457" s="616"/>
      <c r="I457" s="616"/>
      <c r="J457" s="616"/>
      <c r="K457" s="617"/>
    </row>
    <row r="458" spans="1:11" x14ac:dyDescent="0.3">
      <c r="D458" s="9" t="s">
        <v>19</v>
      </c>
      <c r="E458" s="615" t="s">
        <v>20</v>
      </c>
      <c r="F458" s="616"/>
      <c r="G458" s="616"/>
      <c r="H458" s="616"/>
      <c r="I458" s="616"/>
      <c r="J458" s="616"/>
      <c r="K458" s="617"/>
    </row>
    <row r="459" spans="1:11" x14ac:dyDescent="0.3">
      <c r="D459" s="9"/>
      <c r="E459" s="8" t="s">
        <v>33</v>
      </c>
      <c r="F459" s="58" t="s">
        <v>34</v>
      </c>
      <c r="G459" s="58" t="s">
        <v>26</v>
      </c>
      <c r="H459" s="58" t="s">
        <v>31</v>
      </c>
      <c r="I459" s="58" t="s">
        <v>29</v>
      </c>
      <c r="J459" s="58" t="s">
        <v>30</v>
      </c>
      <c r="K459" s="58" t="s">
        <v>35</v>
      </c>
    </row>
    <row r="460" spans="1:11" x14ac:dyDescent="0.3">
      <c r="D460" s="2">
        <v>50000</v>
      </c>
      <c r="E460" s="2">
        <v>25</v>
      </c>
      <c r="F460" s="2">
        <v>80</v>
      </c>
      <c r="G460" s="2">
        <v>250</v>
      </c>
      <c r="H460" s="2">
        <v>800</v>
      </c>
      <c r="I460" s="2">
        <v>2500</v>
      </c>
      <c r="J460" s="2">
        <v>8000</v>
      </c>
      <c r="K460" s="2">
        <v>25000</v>
      </c>
    </row>
    <row r="461" spans="1:11" x14ac:dyDescent="0.3">
      <c r="D461" s="2">
        <v>20000</v>
      </c>
      <c r="E461" s="2">
        <v>10</v>
      </c>
      <c r="F461" s="2">
        <v>30</v>
      </c>
      <c r="G461" s="2">
        <v>100</v>
      </c>
      <c r="H461" s="2">
        <v>300</v>
      </c>
      <c r="I461" s="2">
        <v>1000</v>
      </c>
      <c r="J461" s="2">
        <v>3000</v>
      </c>
      <c r="K461" s="2">
        <v>10000</v>
      </c>
    </row>
    <row r="462" spans="1:11" x14ac:dyDescent="0.3">
      <c r="D462" s="2">
        <v>10000</v>
      </c>
      <c r="E462" s="2">
        <v>5</v>
      </c>
      <c r="F462" s="2">
        <v>16</v>
      </c>
      <c r="G462" s="2">
        <v>50</v>
      </c>
      <c r="H462" s="2">
        <v>160</v>
      </c>
      <c r="I462" s="2">
        <v>500</v>
      </c>
      <c r="J462" s="2">
        <v>1600</v>
      </c>
      <c r="K462" s="2">
        <v>5000</v>
      </c>
    </row>
    <row r="463" spans="1:11" x14ac:dyDescent="0.3">
      <c r="D463" s="2">
        <v>5000</v>
      </c>
      <c r="E463" s="4">
        <v>2.5</v>
      </c>
      <c r="F463" s="2">
        <v>8</v>
      </c>
      <c r="G463" s="2">
        <v>25</v>
      </c>
      <c r="H463" s="2">
        <v>80</v>
      </c>
      <c r="I463" s="2">
        <v>250</v>
      </c>
      <c r="J463" s="2">
        <v>800</v>
      </c>
      <c r="K463" s="2">
        <v>2500</v>
      </c>
    </row>
    <row r="464" spans="1:11" x14ac:dyDescent="0.3">
      <c r="D464" s="2">
        <v>2000</v>
      </c>
      <c r="E464" s="2">
        <v>1</v>
      </c>
      <c r="F464" s="2">
        <v>3</v>
      </c>
      <c r="G464" s="2">
        <v>10</v>
      </c>
      <c r="H464" s="2">
        <v>30</v>
      </c>
      <c r="I464" s="2">
        <v>100</v>
      </c>
      <c r="J464" s="2">
        <v>300</v>
      </c>
      <c r="K464" s="2">
        <v>1000</v>
      </c>
    </row>
    <row r="465" spans="4:11" x14ac:dyDescent="0.3">
      <c r="D465" s="2">
        <v>1000</v>
      </c>
      <c r="E465" s="3">
        <v>0.5</v>
      </c>
      <c r="F465" s="4">
        <v>1.6</v>
      </c>
      <c r="G465" s="2">
        <v>5</v>
      </c>
      <c r="H465" s="2">
        <v>16</v>
      </c>
      <c r="I465" s="2">
        <v>50</v>
      </c>
      <c r="J465" s="2">
        <v>160</v>
      </c>
      <c r="K465" s="2">
        <v>500</v>
      </c>
    </row>
    <row r="466" spans="4:11" x14ac:dyDescent="0.3">
      <c r="D466" s="2">
        <v>500</v>
      </c>
      <c r="E466" s="3">
        <v>0.25</v>
      </c>
      <c r="F466" s="4">
        <v>0.8</v>
      </c>
      <c r="G466" s="2">
        <v>2.5</v>
      </c>
      <c r="H466" s="2">
        <v>8</v>
      </c>
      <c r="I466" s="2">
        <v>25</v>
      </c>
      <c r="J466" s="5">
        <v>80</v>
      </c>
      <c r="K466" s="5">
        <v>250</v>
      </c>
    </row>
    <row r="467" spans="4:11" x14ac:dyDescent="0.3">
      <c r="D467" s="2">
        <v>200</v>
      </c>
      <c r="E467" s="3">
        <v>0.1</v>
      </c>
      <c r="F467" s="4">
        <v>0.3</v>
      </c>
      <c r="G467" s="2">
        <v>1</v>
      </c>
      <c r="H467" s="2">
        <v>3</v>
      </c>
      <c r="I467" s="2">
        <v>10</v>
      </c>
      <c r="J467" s="5">
        <v>30</v>
      </c>
      <c r="K467" s="5">
        <v>100</v>
      </c>
    </row>
    <row r="468" spans="4:11" x14ac:dyDescent="0.3">
      <c r="D468" s="2">
        <v>100</v>
      </c>
      <c r="E468" s="3">
        <v>0.05</v>
      </c>
      <c r="F468" s="3">
        <v>0.16</v>
      </c>
      <c r="G468" s="3">
        <v>0.5</v>
      </c>
      <c r="H468" s="4">
        <v>1.6</v>
      </c>
      <c r="I468" s="2">
        <v>5</v>
      </c>
      <c r="J468" s="5">
        <v>16</v>
      </c>
      <c r="K468" s="5">
        <v>50</v>
      </c>
    </row>
    <row r="469" spans="4:11" x14ac:dyDescent="0.3">
      <c r="D469" s="2">
        <v>50</v>
      </c>
      <c r="E469" s="3">
        <v>0.03</v>
      </c>
      <c r="F469" s="3">
        <v>0.1</v>
      </c>
      <c r="G469" s="3">
        <v>0.3</v>
      </c>
      <c r="H469" s="4">
        <v>1</v>
      </c>
      <c r="I469" s="2">
        <v>3</v>
      </c>
      <c r="J469" s="5">
        <v>10</v>
      </c>
      <c r="K469" s="5">
        <v>30</v>
      </c>
    </row>
    <row r="470" spans="4:11" x14ac:dyDescent="0.3">
      <c r="D470" s="2">
        <v>20</v>
      </c>
      <c r="E470" s="1">
        <v>2.5000000000000001E-2</v>
      </c>
      <c r="F470" s="3">
        <v>0.08</v>
      </c>
      <c r="G470" s="3">
        <v>0.25</v>
      </c>
      <c r="H470" s="4">
        <v>0.8</v>
      </c>
      <c r="I470" s="2">
        <v>2.5</v>
      </c>
      <c r="J470" s="5">
        <v>8</v>
      </c>
      <c r="K470" s="5">
        <v>25</v>
      </c>
    </row>
    <row r="471" spans="4:11" x14ac:dyDescent="0.3">
      <c r="D471" s="2">
        <v>10</v>
      </c>
      <c r="E471" s="1">
        <v>0.02</v>
      </c>
      <c r="F471" s="3">
        <v>0.06</v>
      </c>
      <c r="G471" s="3">
        <v>0.2</v>
      </c>
      <c r="H471" s="4">
        <v>0.6</v>
      </c>
      <c r="I471" s="2">
        <v>2</v>
      </c>
      <c r="J471" s="5">
        <v>6</v>
      </c>
      <c r="K471" s="5">
        <v>20</v>
      </c>
    </row>
    <row r="472" spans="4:11" x14ac:dyDescent="0.3">
      <c r="D472" s="2">
        <v>5</v>
      </c>
      <c r="E472" s="1">
        <v>1.6E-2</v>
      </c>
      <c r="F472" s="3">
        <v>0.05</v>
      </c>
      <c r="G472" s="3">
        <v>0.16</v>
      </c>
      <c r="H472" s="4">
        <v>0.5</v>
      </c>
      <c r="I472" s="4">
        <v>1.6</v>
      </c>
      <c r="J472" s="5">
        <v>5</v>
      </c>
      <c r="K472" s="5">
        <v>16</v>
      </c>
    </row>
    <row r="473" spans="4:11" x14ac:dyDescent="0.3">
      <c r="D473" s="2">
        <v>2</v>
      </c>
      <c r="E473" s="1">
        <v>1.2E-2</v>
      </c>
      <c r="F473" s="3">
        <v>0.04</v>
      </c>
      <c r="G473" s="3">
        <v>0.12</v>
      </c>
      <c r="H473" s="4">
        <v>0.4</v>
      </c>
      <c r="I473" s="4">
        <v>1.2</v>
      </c>
      <c r="J473" s="5">
        <v>4</v>
      </c>
      <c r="K473" s="5">
        <v>12</v>
      </c>
    </row>
    <row r="474" spans="4:11" x14ac:dyDescent="0.3">
      <c r="D474" s="2">
        <v>1</v>
      </c>
      <c r="E474" s="1">
        <v>0.01</v>
      </c>
      <c r="F474" s="3">
        <v>0.03</v>
      </c>
      <c r="G474" s="3">
        <v>0.1</v>
      </c>
      <c r="H474" s="4">
        <v>0.3</v>
      </c>
      <c r="I474" s="4">
        <v>1</v>
      </c>
      <c r="J474" s="5">
        <v>3</v>
      </c>
      <c r="K474" s="5">
        <v>10</v>
      </c>
    </row>
    <row r="475" spans="4:11" x14ac:dyDescent="0.3">
      <c r="D475" s="4">
        <v>0.5</v>
      </c>
      <c r="E475" s="1">
        <v>8.0000000000000002E-3</v>
      </c>
      <c r="F475" s="1">
        <v>2.5000000000000001E-2</v>
      </c>
      <c r="G475" s="3">
        <v>0.08</v>
      </c>
      <c r="H475" s="3">
        <v>0.25</v>
      </c>
      <c r="I475" s="4">
        <v>0.8</v>
      </c>
      <c r="J475" s="6">
        <v>2.5</v>
      </c>
      <c r="K475" s="7"/>
    </row>
    <row r="476" spans="4:11" x14ac:dyDescent="0.3">
      <c r="D476" s="4">
        <v>0.2</v>
      </c>
      <c r="E476" s="1">
        <v>6.0000000000000001E-3</v>
      </c>
      <c r="F476" s="1">
        <v>0.02</v>
      </c>
      <c r="G476" s="3">
        <v>0.06</v>
      </c>
      <c r="H476" s="3">
        <v>0.2</v>
      </c>
      <c r="I476" s="4">
        <v>0.6</v>
      </c>
      <c r="J476" s="6">
        <v>2</v>
      </c>
      <c r="K476" s="7"/>
    </row>
    <row r="477" spans="4:11" x14ac:dyDescent="0.3">
      <c r="D477" s="4">
        <v>0.1</v>
      </c>
      <c r="E477" s="1">
        <v>5.0000000000000001E-3</v>
      </c>
      <c r="F477" s="1">
        <v>1.6E-2</v>
      </c>
      <c r="G477" s="3">
        <v>0.05</v>
      </c>
      <c r="H477" s="3">
        <v>0.16</v>
      </c>
      <c r="I477" s="4">
        <v>0.5</v>
      </c>
      <c r="J477" s="6">
        <v>1.6</v>
      </c>
      <c r="K477" s="7"/>
    </row>
    <row r="478" spans="4:11" x14ac:dyDescent="0.3">
      <c r="D478" s="3">
        <v>0.05</v>
      </c>
      <c r="E478" s="1">
        <v>4.0000000000000001E-3</v>
      </c>
      <c r="F478" s="1">
        <v>1.2E-2</v>
      </c>
      <c r="G478" s="3">
        <v>0.04</v>
      </c>
      <c r="H478" s="3">
        <v>0.12</v>
      </c>
      <c r="I478" s="4">
        <v>0.4</v>
      </c>
      <c r="J478" s="7"/>
      <c r="K478" s="7"/>
    </row>
    <row r="479" spans="4:11" x14ac:dyDescent="0.3">
      <c r="D479" s="3">
        <v>0.02</v>
      </c>
      <c r="E479" s="1">
        <v>3.0000000000000001E-3</v>
      </c>
      <c r="F479" s="1">
        <v>0.01</v>
      </c>
      <c r="G479" s="3">
        <v>0.03</v>
      </c>
      <c r="H479" s="3">
        <v>0.1</v>
      </c>
      <c r="I479" s="4">
        <v>0.3</v>
      </c>
      <c r="J479" s="7"/>
      <c r="K479" s="7"/>
    </row>
    <row r="480" spans="4:11" x14ac:dyDescent="0.3">
      <c r="D480" s="3">
        <v>0.01</v>
      </c>
      <c r="E480" s="1">
        <v>3.0000000000000001E-3</v>
      </c>
      <c r="F480" s="1">
        <v>8.0000000000000002E-3</v>
      </c>
      <c r="G480" s="1">
        <v>2.5000000000000001E-2</v>
      </c>
      <c r="H480" s="3">
        <v>0.08</v>
      </c>
      <c r="I480" s="3">
        <v>0.25</v>
      </c>
      <c r="J480" s="7"/>
      <c r="K480" s="7"/>
    </row>
    <row r="481" spans="4:11" x14ac:dyDescent="0.3">
      <c r="D481" s="1">
        <v>5.0000000000000001E-3</v>
      </c>
      <c r="E481" s="1">
        <v>3.0000000000000001E-3</v>
      </c>
      <c r="F481" s="1">
        <v>6.0000000000000001E-3</v>
      </c>
      <c r="G481" s="1">
        <v>0.02</v>
      </c>
      <c r="H481" s="3">
        <v>0.06</v>
      </c>
      <c r="I481" s="3">
        <v>0.2</v>
      </c>
      <c r="J481" s="7"/>
      <c r="K481" s="7"/>
    </row>
    <row r="482" spans="4:11" x14ac:dyDescent="0.3">
      <c r="D482" s="1">
        <v>2E-3</v>
      </c>
      <c r="E482" s="1">
        <v>3.0000000000000001E-3</v>
      </c>
      <c r="F482" s="1">
        <v>6.0000000000000001E-3</v>
      </c>
      <c r="G482" s="1">
        <v>0.02</v>
      </c>
      <c r="H482" s="3">
        <v>0.06</v>
      </c>
      <c r="I482" s="3">
        <v>0.2</v>
      </c>
      <c r="J482" s="7"/>
      <c r="K482" s="7"/>
    </row>
    <row r="483" spans="4:11" x14ac:dyDescent="0.3">
      <c r="D483" s="1">
        <v>1E-3</v>
      </c>
      <c r="E483" s="1">
        <v>3.0000000000000001E-3</v>
      </c>
      <c r="F483" s="1">
        <v>6.0000000000000001E-3</v>
      </c>
      <c r="G483" s="1">
        <v>0.02</v>
      </c>
      <c r="H483" s="3">
        <v>0.06</v>
      </c>
      <c r="I483" s="3">
        <v>0.2</v>
      </c>
      <c r="J483" s="7"/>
      <c r="K483" s="7"/>
    </row>
  </sheetData>
  <protectedRanges>
    <protectedRange sqref="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3:F266 C25:F25 C26:G28" name="Rango5_2"/>
  </protectedRanges>
  <mergeCells count="295">
    <mergeCell ref="I345:J345"/>
    <mergeCell ref="I141:J141"/>
    <mergeCell ref="I158:J158"/>
    <mergeCell ref="I175:J175"/>
    <mergeCell ref="I192:J192"/>
    <mergeCell ref="I209:J209"/>
    <mergeCell ref="I226:J226"/>
    <mergeCell ref="C237:D237"/>
    <mergeCell ref="I243:J243"/>
    <mergeCell ref="C254:D254"/>
    <mergeCell ref="C255:D255"/>
    <mergeCell ref="C260:D260"/>
    <mergeCell ref="C268:D268"/>
    <mergeCell ref="C269:D269"/>
    <mergeCell ref="C270:D270"/>
    <mergeCell ref="C251:D251"/>
    <mergeCell ref="C252:D252"/>
    <mergeCell ref="C253:D253"/>
    <mergeCell ref="C256:D256"/>
    <mergeCell ref="C257:D257"/>
    <mergeCell ref="C258:D258"/>
    <mergeCell ref="C273:D273"/>
    <mergeCell ref="C274:D274"/>
    <mergeCell ref="C275:D275"/>
    <mergeCell ref="I22:J22"/>
    <mergeCell ref="I39:J39"/>
    <mergeCell ref="I56:J56"/>
    <mergeCell ref="I73:J73"/>
    <mergeCell ref="I90:J90"/>
    <mergeCell ref="I107:J107"/>
    <mergeCell ref="I124:J124"/>
    <mergeCell ref="A302:B317"/>
    <mergeCell ref="C305:D305"/>
    <mergeCell ref="C306:D306"/>
    <mergeCell ref="C311:D311"/>
    <mergeCell ref="A285:B300"/>
    <mergeCell ref="C288:D288"/>
    <mergeCell ref="C289:D289"/>
    <mergeCell ref="C285:D285"/>
    <mergeCell ref="C286:D286"/>
    <mergeCell ref="C287:D287"/>
    <mergeCell ref="C290:D290"/>
    <mergeCell ref="C291:D291"/>
    <mergeCell ref="C292:D292"/>
    <mergeCell ref="A268:B283"/>
    <mergeCell ref="C272:D272"/>
    <mergeCell ref="C277:D277"/>
    <mergeCell ref="A251:B266"/>
    <mergeCell ref="A336:B351"/>
    <mergeCell ref="C338:D338"/>
    <mergeCell ref="C339:D339"/>
    <mergeCell ref="C343:D343"/>
    <mergeCell ref="C345:D345"/>
    <mergeCell ref="A319:B334"/>
    <mergeCell ref="C322:D322"/>
    <mergeCell ref="C323:D323"/>
    <mergeCell ref="C328:D328"/>
    <mergeCell ref="C319:D319"/>
    <mergeCell ref="C320:D320"/>
    <mergeCell ref="A234:B249"/>
    <mergeCell ref="C238:D238"/>
    <mergeCell ref="C243:D243"/>
    <mergeCell ref="A217:B232"/>
    <mergeCell ref="C220:D220"/>
    <mergeCell ref="C221:D221"/>
    <mergeCell ref="C226:D226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39:D239"/>
    <mergeCell ref="C240:D240"/>
    <mergeCell ref="C241:D241"/>
    <mergeCell ref="A200:B215"/>
    <mergeCell ref="C203:D203"/>
    <mergeCell ref="C204:D204"/>
    <mergeCell ref="C209:D209"/>
    <mergeCell ref="A183:B198"/>
    <mergeCell ref="C186:D186"/>
    <mergeCell ref="C187:D187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205:D205"/>
    <mergeCell ref="C206:D206"/>
    <mergeCell ref="C207:D207"/>
    <mergeCell ref="A166:B181"/>
    <mergeCell ref="C169:D169"/>
    <mergeCell ref="C170:D170"/>
    <mergeCell ref="C175:D175"/>
    <mergeCell ref="A149:B164"/>
    <mergeCell ref="C152:D152"/>
    <mergeCell ref="C153:D153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71:D171"/>
    <mergeCell ref="C172:D172"/>
    <mergeCell ref="C173:D173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C122:D122"/>
    <mergeCell ref="C132:D132"/>
    <mergeCell ref="C133:D133"/>
    <mergeCell ref="C134:D134"/>
    <mergeCell ref="C115:D115"/>
    <mergeCell ref="C116:D116"/>
    <mergeCell ref="C117:D117"/>
    <mergeCell ref="C137:D137"/>
    <mergeCell ref="C138:D138"/>
    <mergeCell ref="C139:D139"/>
    <mergeCell ref="A98:B113"/>
    <mergeCell ref="C101:D101"/>
    <mergeCell ref="C102:D102"/>
    <mergeCell ref="C107:D107"/>
    <mergeCell ref="C103:D103"/>
    <mergeCell ref="C104:D104"/>
    <mergeCell ref="C105:D105"/>
    <mergeCell ref="A81:B96"/>
    <mergeCell ref="C84:D84"/>
    <mergeCell ref="C85:D85"/>
    <mergeCell ref="C90:D90"/>
    <mergeCell ref="C86:D86"/>
    <mergeCell ref="C87:D87"/>
    <mergeCell ref="C88:D88"/>
    <mergeCell ref="C98:D98"/>
    <mergeCell ref="C99:D99"/>
    <mergeCell ref="C100:D100"/>
    <mergeCell ref="C81:D81"/>
    <mergeCell ref="C82:D82"/>
    <mergeCell ref="C83:D83"/>
    <mergeCell ref="A64:B79"/>
    <mergeCell ref="C67:D67"/>
    <mergeCell ref="C68:D68"/>
    <mergeCell ref="C73:D73"/>
    <mergeCell ref="C69:D69"/>
    <mergeCell ref="C70:D70"/>
    <mergeCell ref="C71:D71"/>
    <mergeCell ref="A47:B62"/>
    <mergeCell ref="C50:D50"/>
    <mergeCell ref="C51:D51"/>
    <mergeCell ref="C56:D56"/>
    <mergeCell ref="C52:D52"/>
    <mergeCell ref="C53:D53"/>
    <mergeCell ref="C54:D54"/>
    <mergeCell ref="C64:D64"/>
    <mergeCell ref="C65:D65"/>
    <mergeCell ref="C66:D66"/>
    <mergeCell ref="C47:D47"/>
    <mergeCell ref="C48:D48"/>
    <mergeCell ref="C49:D49"/>
    <mergeCell ref="C32:D32"/>
    <mergeCell ref="C13:D13"/>
    <mergeCell ref="C14:D14"/>
    <mergeCell ref="C15:D15"/>
    <mergeCell ref="C18:D18"/>
    <mergeCell ref="C19:D19"/>
    <mergeCell ref="C20:D20"/>
    <mergeCell ref="C35:D35"/>
    <mergeCell ref="C36:D36"/>
    <mergeCell ref="H6:J6"/>
    <mergeCell ref="B5:C5"/>
    <mergeCell ref="B6:C6"/>
    <mergeCell ref="B7:C7"/>
    <mergeCell ref="B8:C8"/>
    <mergeCell ref="D7:E7"/>
    <mergeCell ref="D8:E8"/>
    <mergeCell ref="C321:D321"/>
    <mergeCell ref="C302:D302"/>
    <mergeCell ref="C303:D303"/>
    <mergeCell ref="C304:D304"/>
    <mergeCell ref="C307:D307"/>
    <mergeCell ref="C308:D308"/>
    <mergeCell ref="A30:B45"/>
    <mergeCell ref="C33:D33"/>
    <mergeCell ref="C34:D34"/>
    <mergeCell ref="C39:D39"/>
    <mergeCell ref="C37:D37"/>
    <mergeCell ref="A13:B28"/>
    <mergeCell ref="C16:D16"/>
    <mergeCell ref="C17:D17"/>
    <mergeCell ref="C22:D22"/>
    <mergeCell ref="C30:D30"/>
    <mergeCell ref="C31:D31"/>
    <mergeCell ref="M14:N14"/>
    <mergeCell ref="M15:N15"/>
    <mergeCell ref="M16:N16"/>
    <mergeCell ref="M31:N31"/>
    <mergeCell ref="M32:N32"/>
    <mergeCell ref="M33:N33"/>
    <mergeCell ref="M48:N48"/>
    <mergeCell ref="M49:N49"/>
    <mergeCell ref="M50:N50"/>
    <mergeCell ref="M65:N65"/>
    <mergeCell ref="M66:N66"/>
    <mergeCell ref="M67:N67"/>
    <mergeCell ref="M82:N82"/>
    <mergeCell ref="M83:N83"/>
    <mergeCell ref="M84:N84"/>
    <mergeCell ref="M99:N99"/>
    <mergeCell ref="M100:N100"/>
    <mergeCell ref="M101:N101"/>
    <mergeCell ref="M116:N116"/>
    <mergeCell ref="M117:N117"/>
    <mergeCell ref="M118:N118"/>
    <mergeCell ref="M133:N133"/>
    <mergeCell ref="M134:N134"/>
    <mergeCell ref="M135:N135"/>
    <mergeCell ref="M150:N150"/>
    <mergeCell ref="M151:N151"/>
    <mergeCell ref="M152:N152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C294:D294"/>
    <mergeCell ref="C340:D340"/>
    <mergeCell ref="C341:D341"/>
    <mergeCell ref="C342:D342"/>
    <mergeCell ref="C336:D336"/>
    <mergeCell ref="C337:D337"/>
    <mergeCell ref="M218:N218"/>
    <mergeCell ref="M219:N219"/>
    <mergeCell ref="M220:N220"/>
    <mergeCell ref="M235:N235"/>
    <mergeCell ref="M236:N236"/>
    <mergeCell ref="M237:N237"/>
    <mergeCell ref="M252:N252"/>
    <mergeCell ref="M253:N253"/>
    <mergeCell ref="M254:N254"/>
    <mergeCell ref="C324:D324"/>
    <mergeCell ref="C325:D325"/>
    <mergeCell ref="C326:D326"/>
    <mergeCell ref="I260:J260"/>
    <mergeCell ref="I277:J277"/>
    <mergeCell ref="I294:J294"/>
    <mergeCell ref="I311:J311"/>
    <mergeCell ref="I328:J328"/>
    <mergeCell ref="C271:D271"/>
    <mergeCell ref="B9:C9"/>
    <mergeCell ref="D6:E6"/>
    <mergeCell ref="H5:J5"/>
    <mergeCell ref="D9:E9"/>
    <mergeCell ref="H7:J7"/>
    <mergeCell ref="H8:J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M269:N269"/>
    <mergeCell ref="M270:N270"/>
    <mergeCell ref="M271:N271"/>
    <mergeCell ref="M286:N286"/>
    <mergeCell ref="M287:N287"/>
    <mergeCell ref="M288:N288"/>
    <mergeCell ref="M303:N303"/>
    <mergeCell ref="M304:N304"/>
    <mergeCell ref="M305:N305"/>
    <mergeCell ref="C309:D309"/>
  </mergeCells>
  <dataValidations count="1">
    <dataValidation type="list" allowBlank="1" showInputMessage="1" showErrorMessage="1" sqref="M16:N16 M33:N33 M50:N50 M67:N67 M84:N84 M101:N101 M118:N118 M135:N135 M152:N152 M169:N169 M186:N186 M203:N203 M220:N220 M237:N237 M254:N254 M271:N271 M288:N288 M305:N305 M322:N322 M339:N339" xr:uid="{535184FA-219B-4EC0-9D25-70C5F474EA80}">
      <formula1>$D$366:$D$372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0000000}">
          <x14:formula1>
            <xm:f>'Datos Clientes'!$B$6:$B$370</xm:f>
          </x14:formula1>
          <xm:sqref>D6</xm:sqref>
        </x14:dataValidation>
        <x14:dataValidation type="list" allowBlank="1" showInputMessage="1" showErrorMessage="1" xr:uid="{D596E7BA-9E5E-4777-B1EA-1E058A4139EE}">
          <x14:formula1>
            <xm:f>'1 g'!$I$95:$I$215</xm:f>
          </x14:formula1>
          <xm:sqref>C14:D20 D21 K10 D344 D38 C31:D37 D55 C48:D54 D72 C65:D71 D89 C82:D88 D106 C99:D105 D123 C116:D122 D140 C133:D139 D157 C150:D156 C167:D173 D174 D191 C184:D190 D208 C201:D207 D225 C218:D224 D242 C235:D241 D259 C252:D258 D276 C269:D275 D293 C286:D292 D310 C303:D309 D327 C320:D326 C337:D343</xm:sqref>
        </x14:dataValidation>
        <x14:dataValidation type="list" allowBlank="1" showInputMessage="1" showErrorMessage="1" xr:uid="{6E87FE7E-711A-4A8E-A1D9-9B00ACB87CFE}">
          <x14:formula1>
            <xm:f>'1 g'!$T$38:$T$47</xm:f>
          </x14:formula1>
          <xm:sqref>G22 G39 G56 G73 G90 G107 G124 G141 G158 G175 G192 G209 G226 G243 G260 G277 G294 G311 G328 G345</xm:sqref>
        </x14:dataValidation>
        <x14:dataValidation type="list" allowBlank="1" showInputMessage="1" showErrorMessage="1" xr:uid="{B9CAD6E7-FF57-4553-8173-6C80D9AE7B26}">
          <x14:formula1>
            <xm:f>'1 g'!$I$325:$I$330</xm:f>
          </x14:formula1>
          <xm:sqref>H22 H39 H56 H73 H90 H107 H124 H141 H158 H175 H192 H209 H226 H243 H260 H277 H294 H311 H328 H345</xm:sqref>
        </x14:dataValidation>
        <x14:dataValidation type="list" allowBlank="1" showInputMessage="1" showErrorMessage="1" xr:uid="{F899208D-0679-4723-80AA-EBC0CD24A2BF}">
          <x14:formula1>
            <xm:f>'1 g'!$I$336:$I$343</xm:f>
          </x14:formula1>
          <xm:sqref>I22:J22 I39:J39 I56:J56 I73:J73 I90:J90 I107:J107 I124:J124 I141:J141 I158:J158 I175:J175 I192:J192 I209:J209 I226:J226 I243:J243 I260:J260 I277:J277 I294:J294 I311:J311 I328:J328 I345:J345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C4:Z112"/>
  <sheetViews>
    <sheetView tabSelected="1" topLeftCell="A4" workbookViewId="0">
      <selection activeCell="I17" sqref="I17"/>
    </sheetView>
  </sheetViews>
  <sheetFormatPr baseColWidth="10" defaultColWidth="11.5546875" defaultRowHeight="14.4" x14ac:dyDescent="0.3"/>
  <cols>
    <col min="1" max="2" width="11.5546875" style="456"/>
    <col min="3" max="3" width="11.6640625" style="456" bestFit="1" customWidth="1"/>
    <col min="4" max="4" width="18.109375" style="456" customWidth="1"/>
    <col min="5" max="5" width="7.88671875" style="456" customWidth="1"/>
    <col min="6" max="6" width="6" style="456" customWidth="1"/>
    <col min="7" max="7" width="6.5546875" style="456" customWidth="1"/>
    <col min="8" max="8" width="4.33203125" style="456" customWidth="1"/>
    <col min="9" max="9" width="8.44140625" style="456" bestFit="1" customWidth="1"/>
    <col min="10" max="10" width="14" style="456" customWidth="1"/>
    <col min="11" max="11" width="3.44140625" style="456" bestFit="1" customWidth="1"/>
    <col min="12" max="12" width="10.6640625" style="456" bestFit="1" customWidth="1"/>
    <col min="13" max="13" width="8" style="456" customWidth="1"/>
    <col min="14" max="14" width="8.44140625" style="456" bestFit="1" customWidth="1"/>
    <col min="15" max="16384" width="11.5546875" style="456"/>
  </cols>
  <sheetData>
    <row r="4" spans="3:26" x14ac:dyDescent="0.3">
      <c r="C4" s="60"/>
      <c r="D4" s="60"/>
      <c r="E4" s="60"/>
      <c r="F4" s="60"/>
      <c r="G4" s="60"/>
      <c r="H4" s="60"/>
      <c r="I4" s="60"/>
      <c r="J4" s="60"/>
    </row>
    <row r="5" spans="3:26" x14ac:dyDescent="0.3">
      <c r="C5" s="648" t="s">
        <v>465</v>
      </c>
      <c r="D5" s="649"/>
      <c r="E5" s="649"/>
      <c r="F5" s="649"/>
      <c r="G5" s="649"/>
      <c r="H5" s="649"/>
      <c r="I5" s="649"/>
      <c r="J5" s="649"/>
      <c r="K5" s="649"/>
      <c r="L5" s="649"/>
      <c r="M5" s="649"/>
      <c r="N5" s="649"/>
      <c r="O5" s="456" t="s">
        <v>784</v>
      </c>
    </row>
    <row r="6" spans="3:26" ht="15" customHeight="1" x14ac:dyDescent="0.3">
      <c r="C6" s="650" t="s">
        <v>466</v>
      </c>
      <c r="D6" s="650" t="s">
        <v>469</v>
      </c>
      <c r="E6" s="647" t="s">
        <v>467</v>
      </c>
      <c r="F6" s="647"/>
      <c r="G6" s="647" t="s">
        <v>468</v>
      </c>
      <c r="H6" s="647"/>
      <c r="I6" s="647"/>
      <c r="J6" s="647"/>
      <c r="K6" s="647"/>
      <c r="L6" s="647" t="s">
        <v>177</v>
      </c>
      <c r="M6" s="647"/>
      <c r="N6" s="652" t="s">
        <v>16</v>
      </c>
      <c r="O6" s="643" t="s">
        <v>19</v>
      </c>
      <c r="P6" s="645" t="s">
        <v>783</v>
      </c>
      <c r="Q6" s="645" t="s">
        <v>788</v>
      </c>
      <c r="R6" s="642" t="s">
        <v>787</v>
      </c>
      <c r="S6" s="642"/>
      <c r="T6" s="634" t="s">
        <v>785</v>
      </c>
      <c r="U6" s="635"/>
      <c r="V6" s="635"/>
      <c r="W6" s="635"/>
      <c r="X6" s="635"/>
      <c r="Y6" s="636"/>
      <c r="Z6" s="632" t="s">
        <v>786</v>
      </c>
    </row>
    <row r="7" spans="3:26" ht="27.75" customHeight="1" x14ac:dyDescent="0.3">
      <c r="C7" s="651"/>
      <c r="D7" s="651"/>
      <c r="E7" s="647"/>
      <c r="F7" s="647"/>
      <c r="G7" s="647"/>
      <c r="H7" s="647"/>
      <c r="I7" s="647"/>
      <c r="J7" s="647"/>
      <c r="K7" s="647"/>
      <c r="L7" s="647"/>
      <c r="M7" s="647"/>
      <c r="N7" s="653"/>
      <c r="O7" s="644"/>
      <c r="P7" s="646"/>
      <c r="Q7" s="646"/>
      <c r="R7" s="642"/>
      <c r="S7" s="642"/>
      <c r="T7" s="637"/>
      <c r="U7" s="638"/>
      <c r="V7" s="638"/>
      <c r="W7" s="638"/>
      <c r="X7" s="638"/>
      <c r="Y7" s="639"/>
      <c r="Z7" s="633"/>
    </row>
    <row r="8" spans="3:26" x14ac:dyDescent="0.3">
      <c r="C8" s="457">
        <f>datos!A13</f>
        <v>1</v>
      </c>
      <c r="D8" s="457" t="str">
        <f>datos!M15</f>
        <v>(N/A)</v>
      </c>
      <c r="E8" s="458">
        <f>datos!E22</f>
        <v>20000</v>
      </c>
      <c r="F8" s="459" t="str">
        <f>datos!F22</f>
        <v>g</v>
      </c>
      <c r="G8" s="460">
        <f>E8</f>
        <v>20000</v>
      </c>
      <c r="H8" s="459" t="str">
        <f>F8</f>
        <v>g</v>
      </c>
      <c r="I8" s="458" t="e">
        <f>IF('1 g'!$C$67&gt;0,"+",IF('1 g'!$C$67&lt;0,"-"," "))</f>
        <v>#DIV/0!</v>
      </c>
      <c r="J8" s="463" t="e">
        <f>ABS('1 g'!$C$67)</f>
        <v>#DIV/0!</v>
      </c>
      <c r="K8" s="461" t="s">
        <v>119</v>
      </c>
      <c r="L8" s="461" t="e">
        <f>'1 g'!$C$64</f>
        <v>#DIV/0!</v>
      </c>
      <c r="M8" s="462" t="s">
        <v>119</v>
      </c>
      <c r="N8" s="463" t="e">
        <f>'1 g'!$AG$129</f>
        <v>#DIV/0!</v>
      </c>
      <c r="O8" s="463" t="str">
        <f>datos!E22&amp;" "&amp;datos!F22</f>
        <v>20000 g</v>
      </c>
      <c r="P8" s="463" t="e">
        <f>VLOOKUP(O8,'Salida de datos'!$C$63:$J$87,datos!D364+1,FALSE)</f>
        <v>#N/A</v>
      </c>
      <c r="Q8" s="540" t="e">
        <f>P8/3</f>
        <v>#N/A</v>
      </c>
      <c r="R8" s="640" t="e">
        <f>IF(L8&lt;=Q8, "Cumple","No cumple")</f>
        <v>#DIV/0!</v>
      </c>
      <c r="S8" s="641"/>
      <c r="T8" s="542" t="str">
        <f>IF(C93&gt;$D$47,"*","**")</f>
        <v>*</v>
      </c>
      <c r="U8" s="543" t="str">
        <f>IF(C93=$D$48,"**","*")</f>
        <v>*</v>
      </c>
      <c r="V8" s="543" t="str">
        <f>IF(C93=$D$49,"**","*")</f>
        <v>*</v>
      </c>
      <c r="W8" s="543" t="str">
        <f>IF(C93=$D$50,"**","*")</f>
        <v>*</v>
      </c>
      <c r="X8" s="543" t="str">
        <f>IF(C93=$D$51,"**","*")</f>
        <v>*</v>
      </c>
      <c r="Y8" s="543" t="b">
        <f>IF(T8=$O$5,"**",IF(U8=$O$5,"**",IF(V8=$O$5,"**",IF(W8=$O$5,"**",IF(X8=$O$5,"**")))))</f>
        <v>0</v>
      </c>
      <c r="Z8" s="546" t="str">
        <f>IF(Y8=FALSE," ","**")</f>
        <v xml:space="preserve"> </v>
      </c>
    </row>
    <row r="9" spans="3:26" ht="14.4" customHeight="1" x14ac:dyDescent="0.3">
      <c r="C9" s="464">
        <f>datos!A30</f>
        <v>2</v>
      </c>
      <c r="D9" s="457">
        <f>datos!M32</f>
        <v>24</v>
      </c>
      <c r="E9" s="458">
        <f>datos!E39</f>
        <v>0</v>
      </c>
      <c r="F9" s="459" t="str">
        <f>datos!F39</f>
        <v>g</v>
      </c>
      <c r="G9" s="460">
        <f t="shared" ref="G9:G27" si="0">E9</f>
        <v>0</v>
      </c>
      <c r="H9" s="459" t="str">
        <f t="shared" ref="H9:H27" si="1">F9</f>
        <v>g</v>
      </c>
      <c r="I9" s="458" t="e">
        <f>IF('2 g'!$C$67&gt;0,"+",IF('2 g'!$C$67&lt;0,"-"," "))</f>
        <v>#DIV/0!</v>
      </c>
      <c r="J9" s="540" t="e">
        <f>ABS('2 g'!$C$67)</f>
        <v>#DIV/0!</v>
      </c>
      <c r="K9" s="461" t="s">
        <v>119</v>
      </c>
      <c r="L9" s="461" t="e">
        <f>'2 g'!$C$64</f>
        <v>#DIV/0!</v>
      </c>
      <c r="M9" s="462" t="s">
        <v>119</v>
      </c>
      <c r="N9" s="463" t="e">
        <f>'2 g'!$AG$129</f>
        <v>#DIV/0!</v>
      </c>
      <c r="O9" s="463" t="str">
        <f>datos!E39&amp;" "&amp;datos!F39</f>
        <v>0 g</v>
      </c>
      <c r="P9" s="463" t="e">
        <f>VLOOKUP(O9,'Salida de datos'!$C$63:$J$87,datos!E364+1,FALSE)</f>
        <v>#N/A</v>
      </c>
      <c r="Q9" s="540" t="e">
        <f t="shared" ref="Q9:Q27" si="2">P9/3</f>
        <v>#N/A</v>
      </c>
      <c r="R9" s="640" t="e">
        <f t="shared" ref="R9:R27" si="3">IF(L9&lt;=Q9, "Cumple","No cumple")</f>
        <v>#DIV/0!</v>
      </c>
      <c r="S9" s="641"/>
      <c r="T9" s="543" t="str">
        <f t="shared" ref="T9:T27" si="4">IF(C94&gt;$D$47,"*","**")</f>
        <v>**</v>
      </c>
      <c r="U9" s="543" t="str">
        <f t="shared" ref="U9:U27" si="5">IF(C94=$D$48,"**","*")</f>
        <v>*</v>
      </c>
      <c r="V9" s="543" t="str">
        <f t="shared" ref="V9:V27" si="6">IF(C94=$D$49,"**","*")</f>
        <v>*</v>
      </c>
      <c r="W9" s="543" t="str">
        <f t="shared" ref="W9:W27" si="7">IF(C94=$D$50,"**","*")</f>
        <v>*</v>
      </c>
      <c r="X9" s="543" t="str">
        <f t="shared" ref="X9:X27" si="8">IF(C94=$D$51,"**","*")</f>
        <v>*</v>
      </c>
      <c r="Y9" s="543" t="str">
        <f>IF(T9=$O$5,"**",IF(U9=$O$5,"**",IF(V9=$O$5,"**",IF(W9=$O$5,"**",IF(X9=$O$5,"**")))))</f>
        <v>**</v>
      </c>
      <c r="Z9" s="546" t="str">
        <f t="shared" ref="Z9:Z27" si="9">IF(Y9=FALSE," ","**")</f>
        <v>**</v>
      </c>
    </row>
    <row r="10" spans="3:26" ht="14.4" customHeight="1" x14ac:dyDescent="0.3">
      <c r="C10" s="457">
        <f>datos!A47</f>
        <v>3</v>
      </c>
      <c r="D10" s="457" t="str">
        <f>datos!M49</f>
        <v>No Aplica (N/A)</v>
      </c>
      <c r="E10" s="458">
        <f>datos!E56</f>
        <v>0</v>
      </c>
      <c r="F10" s="459" t="str">
        <f>datos!F56</f>
        <v>g</v>
      </c>
      <c r="G10" s="460">
        <f t="shared" si="0"/>
        <v>0</v>
      </c>
      <c r="H10" s="459" t="str">
        <f t="shared" si="1"/>
        <v>g</v>
      </c>
      <c r="I10" s="458" t="e">
        <f>IF('2 g.'!$C$67&gt;0,"+",IF('2 g.'!$C$67&lt;0,"-"," "))</f>
        <v>#DIV/0!</v>
      </c>
      <c r="J10" s="540" t="e">
        <f>ABS('2 g.'!$C$67)</f>
        <v>#DIV/0!</v>
      </c>
      <c r="K10" s="461" t="s">
        <v>119</v>
      </c>
      <c r="L10" s="461" t="e">
        <f>'2 g.'!$C$64</f>
        <v>#DIV/0!</v>
      </c>
      <c r="M10" s="462" t="s">
        <v>119</v>
      </c>
      <c r="N10" s="463" t="e">
        <f>'2 g.'!$AG$129</f>
        <v>#DIV/0!</v>
      </c>
      <c r="O10" s="463" t="str">
        <f>datos!E56&amp;" "&amp;datos!F56</f>
        <v>0 g</v>
      </c>
      <c r="P10" s="463" t="e">
        <f>VLOOKUP(O10,'Salida de datos'!$C$63:$J$87,datos!E365+1,FALSE)</f>
        <v>#N/A</v>
      </c>
      <c r="Q10" s="540" t="e">
        <f t="shared" si="2"/>
        <v>#N/A</v>
      </c>
      <c r="R10" s="640" t="e">
        <f t="shared" si="3"/>
        <v>#DIV/0!</v>
      </c>
      <c r="S10" s="641"/>
      <c r="T10" s="543" t="str">
        <f t="shared" si="4"/>
        <v>**</v>
      </c>
      <c r="U10" s="543" t="str">
        <f t="shared" si="5"/>
        <v>*</v>
      </c>
      <c r="V10" s="543" t="str">
        <f t="shared" si="6"/>
        <v>*</v>
      </c>
      <c r="W10" s="543" t="str">
        <f t="shared" si="7"/>
        <v>*</v>
      </c>
      <c r="X10" s="543" t="str">
        <f t="shared" si="8"/>
        <v>*</v>
      </c>
      <c r="Y10" s="543" t="str">
        <f t="shared" ref="Y10:Y27" si="10">IF(T10=$O$5,"**",IF(U10=$O$5,"**",IF(V10=$O$5,"**",IF(W10=$O$5,"**",IF(X10=$O$5,"**")))))</f>
        <v>**</v>
      </c>
      <c r="Z10" s="546" t="str">
        <f t="shared" si="9"/>
        <v>**</v>
      </c>
    </row>
    <row r="11" spans="3:26" ht="14.4" customHeight="1" x14ac:dyDescent="0.3">
      <c r="C11" s="457">
        <f>datos!A64</f>
        <v>4</v>
      </c>
      <c r="D11" s="457" t="str">
        <f>datos!M66</f>
        <v>No Aplica (N/A)</v>
      </c>
      <c r="E11" s="458">
        <f>datos!E73</f>
        <v>0</v>
      </c>
      <c r="F11" s="459" t="str">
        <f>datos!F73</f>
        <v>g</v>
      </c>
      <c r="G11" s="460">
        <f t="shared" si="0"/>
        <v>0</v>
      </c>
      <c r="H11" s="459" t="str">
        <f t="shared" si="1"/>
        <v>g</v>
      </c>
      <c r="I11" s="458" t="e">
        <f>IF('5 g'!$C$67&gt;0,"+",IF('5 g'!$C$67&lt;0,"-"," "))</f>
        <v>#DIV/0!</v>
      </c>
      <c r="J11" s="540" t="e">
        <f>ABS('5 g'!$C$67)</f>
        <v>#DIV/0!</v>
      </c>
      <c r="K11" s="461" t="s">
        <v>119</v>
      </c>
      <c r="L11" s="461" t="e">
        <f>'5 g'!$C$64</f>
        <v>#DIV/0!</v>
      </c>
      <c r="M11" s="462" t="s">
        <v>119</v>
      </c>
      <c r="N11" s="463" t="e">
        <f>'5 g'!$AG$129</f>
        <v>#DIV/0!</v>
      </c>
      <c r="O11" s="463" t="str">
        <f>datos!E73&amp;" "&amp;datos!F73</f>
        <v>0 g</v>
      </c>
      <c r="P11" s="463" t="e">
        <f>VLOOKUP(O11,'Salida de datos'!$C$63:$J$87,datos!E366+1,FALSE)</f>
        <v>#N/A</v>
      </c>
      <c r="Q11" s="540" t="e">
        <f t="shared" si="2"/>
        <v>#N/A</v>
      </c>
      <c r="R11" s="640" t="e">
        <f t="shared" si="3"/>
        <v>#DIV/0!</v>
      </c>
      <c r="S11" s="641"/>
      <c r="T11" s="543" t="str">
        <f t="shared" si="4"/>
        <v>**</v>
      </c>
      <c r="U11" s="543" t="str">
        <f t="shared" si="5"/>
        <v>*</v>
      </c>
      <c r="V11" s="543" t="str">
        <f t="shared" si="6"/>
        <v>*</v>
      </c>
      <c r="W11" s="543" t="str">
        <f t="shared" si="7"/>
        <v>*</v>
      </c>
      <c r="X11" s="543" t="str">
        <f t="shared" si="8"/>
        <v>*</v>
      </c>
      <c r="Y11" s="543" t="str">
        <f t="shared" si="10"/>
        <v>**</v>
      </c>
      <c r="Z11" s="546" t="str">
        <f t="shared" si="9"/>
        <v>**</v>
      </c>
    </row>
    <row r="12" spans="3:26" ht="14.4" customHeight="1" x14ac:dyDescent="0.3">
      <c r="C12" s="464">
        <f>datos!A81</f>
        <v>5</v>
      </c>
      <c r="D12" s="457" t="str">
        <f>datos!M83</f>
        <v>No Aplica (N/A)</v>
      </c>
      <c r="E12" s="458">
        <f>datos!E90</f>
        <v>0</v>
      </c>
      <c r="F12" s="459" t="str">
        <f>datos!F90</f>
        <v>g</v>
      </c>
      <c r="G12" s="460">
        <f t="shared" si="0"/>
        <v>0</v>
      </c>
      <c r="H12" s="459" t="str">
        <f t="shared" si="1"/>
        <v>g</v>
      </c>
      <c r="I12" s="458" t="e">
        <f>IF('10 g'!$C$67&gt;0,"+",IF('10 g'!$C$67&lt;0,"-"," "))</f>
        <v>#DIV/0!</v>
      </c>
      <c r="J12" s="540" t="e">
        <f>ABS('10 g'!$C$67)</f>
        <v>#DIV/0!</v>
      </c>
      <c r="K12" s="461" t="s">
        <v>119</v>
      </c>
      <c r="L12" s="461" t="e">
        <f>'10 g'!$C$64</f>
        <v>#DIV/0!</v>
      </c>
      <c r="M12" s="462" t="s">
        <v>119</v>
      </c>
      <c r="N12" s="463" t="e">
        <f>'10 g'!$AG$129</f>
        <v>#DIV/0!</v>
      </c>
      <c r="O12" s="463" t="str">
        <f>datos!E90&amp;" "&amp;datos!F90</f>
        <v>0 g</v>
      </c>
      <c r="P12" s="463" t="e">
        <f>VLOOKUP(O12,'Salida de datos'!$C$63:$J$87,datos!E367+1,FALSE)</f>
        <v>#N/A</v>
      </c>
      <c r="Q12" s="540" t="e">
        <f t="shared" si="2"/>
        <v>#N/A</v>
      </c>
      <c r="R12" s="640" t="e">
        <f t="shared" si="3"/>
        <v>#DIV/0!</v>
      </c>
      <c r="S12" s="641"/>
      <c r="T12" s="543" t="str">
        <f t="shared" si="4"/>
        <v>**</v>
      </c>
      <c r="U12" s="543" t="str">
        <f t="shared" si="5"/>
        <v>*</v>
      </c>
      <c r="V12" s="543" t="str">
        <f t="shared" si="6"/>
        <v>*</v>
      </c>
      <c r="W12" s="543" t="str">
        <f t="shared" si="7"/>
        <v>*</v>
      </c>
      <c r="X12" s="543" t="str">
        <f t="shared" si="8"/>
        <v>*</v>
      </c>
      <c r="Y12" s="543" t="str">
        <f t="shared" si="10"/>
        <v>**</v>
      </c>
      <c r="Z12" s="546" t="str">
        <f t="shared" si="9"/>
        <v>**</v>
      </c>
    </row>
    <row r="13" spans="3:26" ht="14.4" customHeight="1" x14ac:dyDescent="0.3">
      <c r="C13" s="457">
        <f>datos!A98</f>
        <v>6</v>
      </c>
      <c r="D13" s="457" t="str">
        <f>datos!M100</f>
        <v>No Aplica (N/A)</v>
      </c>
      <c r="E13" s="458">
        <f>datos!E107</f>
        <v>0</v>
      </c>
      <c r="F13" s="459" t="str">
        <f>datos!F107</f>
        <v>g</v>
      </c>
      <c r="G13" s="460">
        <f t="shared" si="0"/>
        <v>0</v>
      </c>
      <c r="H13" s="459" t="str">
        <f t="shared" si="1"/>
        <v>g</v>
      </c>
      <c r="I13" s="458" t="e">
        <f>IF('20 g'!$C$67&gt;0,"+",IF('20 g'!$C$67&lt;0,"-"," "))</f>
        <v>#DIV/0!</v>
      </c>
      <c r="J13" s="540" t="e">
        <f>ABS('20 g'!$C$67)</f>
        <v>#DIV/0!</v>
      </c>
      <c r="K13" s="461" t="s">
        <v>119</v>
      </c>
      <c r="L13" s="461" t="e">
        <f>'20 g'!$C$64</f>
        <v>#DIV/0!</v>
      </c>
      <c r="M13" s="462" t="s">
        <v>119</v>
      </c>
      <c r="N13" s="463" t="e">
        <f>'20 g'!$AG$129</f>
        <v>#DIV/0!</v>
      </c>
      <c r="O13" s="463" t="str">
        <f>datos!E107&amp;" "&amp;datos!F107</f>
        <v>0 g</v>
      </c>
      <c r="P13" s="463" t="e">
        <f>VLOOKUP(O13,'Salida de datos'!$C$63:$J$87,datos!E368+1,FALSE)</f>
        <v>#N/A</v>
      </c>
      <c r="Q13" s="540" t="e">
        <f t="shared" si="2"/>
        <v>#N/A</v>
      </c>
      <c r="R13" s="640" t="e">
        <f t="shared" si="3"/>
        <v>#DIV/0!</v>
      </c>
      <c r="S13" s="641"/>
      <c r="T13" s="543" t="str">
        <f t="shared" si="4"/>
        <v>**</v>
      </c>
      <c r="U13" s="543" t="str">
        <f t="shared" si="5"/>
        <v>*</v>
      </c>
      <c r="V13" s="543" t="str">
        <f t="shared" si="6"/>
        <v>*</v>
      </c>
      <c r="W13" s="543" t="str">
        <f t="shared" si="7"/>
        <v>*</v>
      </c>
      <c r="X13" s="543" t="str">
        <f t="shared" si="8"/>
        <v>*</v>
      </c>
      <c r="Y13" s="543" t="str">
        <f t="shared" si="10"/>
        <v>**</v>
      </c>
      <c r="Z13" s="546" t="str">
        <f t="shared" si="9"/>
        <v>**</v>
      </c>
    </row>
    <row r="14" spans="3:26" ht="14.4" customHeight="1" x14ac:dyDescent="0.3">
      <c r="C14" s="457">
        <f>datos!A115</f>
        <v>7</v>
      </c>
      <c r="D14" s="457" t="str">
        <f>datos!M117</f>
        <v>No Aplica (N/A)</v>
      </c>
      <c r="E14" s="458">
        <f>datos!E124</f>
        <v>0</v>
      </c>
      <c r="F14" s="459" t="str">
        <f>datos!F124</f>
        <v>g</v>
      </c>
      <c r="G14" s="460">
        <f t="shared" si="0"/>
        <v>0</v>
      </c>
      <c r="H14" s="459" t="str">
        <f t="shared" si="1"/>
        <v>g</v>
      </c>
      <c r="I14" s="458" t="e">
        <f>IF('20 g,'!$C$67&gt;0,"+",IF('20 g,'!$C$67&lt;0,"-"," "))</f>
        <v>#DIV/0!</v>
      </c>
      <c r="J14" s="540" t="e">
        <f>ABS('20 g,'!$C$67)</f>
        <v>#DIV/0!</v>
      </c>
      <c r="K14" s="461" t="s">
        <v>119</v>
      </c>
      <c r="L14" s="461" t="e">
        <f>'20 g,'!$C$64</f>
        <v>#DIV/0!</v>
      </c>
      <c r="M14" s="462" t="s">
        <v>119</v>
      </c>
      <c r="N14" s="463" t="e">
        <f>'20 g,'!$AG$129</f>
        <v>#DIV/0!</v>
      </c>
      <c r="O14" s="463" t="str">
        <f>datos!E124&amp;" "&amp;datos!F124</f>
        <v>0 g</v>
      </c>
      <c r="P14" s="463" t="e">
        <f>VLOOKUP(O14,'Salida de datos'!$C$63:$J$87,datos!E369+1,FALSE)</f>
        <v>#N/A</v>
      </c>
      <c r="Q14" s="540" t="e">
        <f t="shared" si="2"/>
        <v>#N/A</v>
      </c>
      <c r="R14" s="640" t="e">
        <f t="shared" si="3"/>
        <v>#DIV/0!</v>
      </c>
      <c r="S14" s="641"/>
      <c r="T14" s="543" t="str">
        <f t="shared" si="4"/>
        <v>**</v>
      </c>
      <c r="U14" s="543" t="str">
        <f t="shared" si="5"/>
        <v>*</v>
      </c>
      <c r="V14" s="543" t="str">
        <f t="shared" si="6"/>
        <v>*</v>
      </c>
      <c r="W14" s="543" t="str">
        <f t="shared" si="7"/>
        <v>*</v>
      </c>
      <c r="X14" s="543" t="str">
        <f t="shared" si="8"/>
        <v>*</v>
      </c>
      <c r="Y14" s="543" t="str">
        <f t="shared" si="10"/>
        <v>**</v>
      </c>
      <c r="Z14" s="546" t="str">
        <f t="shared" si="9"/>
        <v>**</v>
      </c>
    </row>
    <row r="15" spans="3:26" ht="14.4" customHeight="1" x14ac:dyDescent="0.3">
      <c r="C15" s="457">
        <f>datos!A132</f>
        <v>8</v>
      </c>
      <c r="D15" s="457" t="str">
        <f>datos!M134</f>
        <v>No Aplica (N/A)</v>
      </c>
      <c r="E15" s="458">
        <f>datos!E141</f>
        <v>0</v>
      </c>
      <c r="F15" s="459" t="str">
        <f>datos!F141</f>
        <v>g</v>
      </c>
      <c r="G15" s="460">
        <f t="shared" si="0"/>
        <v>0</v>
      </c>
      <c r="H15" s="459" t="str">
        <f t="shared" si="1"/>
        <v>g</v>
      </c>
      <c r="I15" s="458" t="e">
        <f>IF('50 g'!$C$67&gt;0,"+",IF('50 g'!$C$67&lt;0,"-"," "))</f>
        <v>#DIV/0!</v>
      </c>
      <c r="J15" s="540" t="e">
        <f>ABS('50 g'!$C$67)</f>
        <v>#DIV/0!</v>
      </c>
      <c r="K15" s="461" t="s">
        <v>119</v>
      </c>
      <c r="L15" s="461" t="e">
        <f>'50 g'!$C$64</f>
        <v>#DIV/0!</v>
      </c>
      <c r="M15" s="462" t="s">
        <v>119</v>
      </c>
      <c r="N15" s="463" t="e">
        <f>'50 g'!$AG$129</f>
        <v>#DIV/0!</v>
      </c>
      <c r="O15" s="463" t="str">
        <f>datos!E141&amp;" "&amp;datos!F141</f>
        <v>0 g</v>
      </c>
      <c r="P15" s="463" t="e">
        <f>VLOOKUP(O15,'Salida de datos'!$C$63:$J$87,datos!E370+1,FALSE)</f>
        <v>#N/A</v>
      </c>
      <c r="Q15" s="540" t="e">
        <f t="shared" si="2"/>
        <v>#N/A</v>
      </c>
      <c r="R15" s="640" t="e">
        <f t="shared" si="3"/>
        <v>#DIV/0!</v>
      </c>
      <c r="S15" s="641"/>
      <c r="T15" s="543" t="str">
        <f t="shared" si="4"/>
        <v>**</v>
      </c>
      <c r="U15" s="543" t="str">
        <f t="shared" si="5"/>
        <v>*</v>
      </c>
      <c r="V15" s="543" t="str">
        <f t="shared" si="6"/>
        <v>*</v>
      </c>
      <c r="W15" s="543" t="str">
        <f t="shared" si="7"/>
        <v>*</v>
      </c>
      <c r="X15" s="543" t="str">
        <f t="shared" si="8"/>
        <v>*</v>
      </c>
      <c r="Y15" s="543" t="str">
        <f t="shared" si="10"/>
        <v>**</v>
      </c>
      <c r="Z15" s="546" t="str">
        <f t="shared" si="9"/>
        <v>**</v>
      </c>
    </row>
    <row r="16" spans="3:26" ht="14.4" customHeight="1" x14ac:dyDescent="0.3">
      <c r="C16" s="457">
        <f>datos!A149</f>
        <v>9</v>
      </c>
      <c r="D16" s="457" t="str">
        <f>datos!M151</f>
        <v>No Aplica (N/A)</v>
      </c>
      <c r="E16" s="458">
        <f>datos!E158</f>
        <v>0</v>
      </c>
      <c r="F16" s="459" t="str">
        <f>datos!F158</f>
        <v>g</v>
      </c>
      <c r="G16" s="460">
        <f t="shared" si="0"/>
        <v>0</v>
      </c>
      <c r="H16" s="459" t="str">
        <f t="shared" si="1"/>
        <v>g</v>
      </c>
      <c r="I16" s="458" t="e">
        <f>IF('100 g'!$C$67&gt;0,"+",IF('100 g'!$C$67&lt;0,"-"," "))</f>
        <v>#DIV/0!</v>
      </c>
      <c r="J16" s="540" t="e">
        <f>ABS('100 g'!$C$67)</f>
        <v>#DIV/0!</v>
      </c>
      <c r="K16" s="461" t="s">
        <v>119</v>
      </c>
      <c r="L16" s="461" t="e">
        <f>'100 g'!$C$64</f>
        <v>#DIV/0!</v>
      </c>
      <c r="M16" s="462" t="s">
        <v>119</v>
      </c>
      <c r="N16" s="463" t="e">
        <f>'100 g'!$AG$129</f>
        <v>#DIV/0!</v>
      </c>
      <c r="O16" s="463" t="str">
        <f>datos!E158&amp;" "&amp;datos!F158</f>
        <v>0 g</v>
      </c>
      <c r="P16" s="463" t="e">
        <f>VLOOKUP(O16,'Salida de datos'!$C$63:$J$87,datos!E371+1,FALSE)</f>
        <v>#N/A</v>
      </c>
      <c r="Q16" s="540" t="e">
        <f t="shared" si="2"/>
        <v>#N/A</v>
      </c>
      <c r="R16" s="640" t="e">
        <f t="shared" si="3"/>
        <v>#DIV/0!</v>
      </c>
      <c r="S16" s="641"/>
      <c r="T16" s="543" t="str">
        <f t="shared" si="4"/>
        <v>**</v>
      </c>
      <c r="U16" s="543" t="str">
        <f t="shared" si="5"/>
        <v>*</v>
      </c>
      <c r="V16" s="543" t="str">
        <f t="shared" si="6"/>
        <v>*</v>
      </c>
      <c r="W16" s="543" t="str">
        <f t="shared" si="7"/>
        <v>*</v>
      </c>
      <c r="X16" s="543" t="str">
        <f t="shared" si="8"/>
        <v>*</v>
      </c>
      <c r="Y16" s="543" t="str">
        <f t="shared" si="10"/>
        <v>**</v>
      </c>
      <c r="Z16" s="546" t="str">
        <f t="shared" si="9"/>
        <v>**</v>
      </c>
    </row>
    <row r="17" spans="3:26" ht="14.4" customHeight="1" x14ac:dyDescent="0.3">
      <c r="C17" s="457">
        <f>datos!A166</f>
        <v>10</v>
      </c>
      <c r="D17" s="457" t="str">
        <f>datos!M168</f>
        <v>No Aplica (N/A)</v>
      </c>
      <c r="E17" s="458">
        <f>datos!E175</f>
        <v>0</v>
      </c>
      <c r="F17" s="459" t="str">
        <f>datos!F175</f>
        <v>kg</v>
      </c>
      <c r="G17" s="460">
        <f t="shared" si="0"/>
        <v>0</v>
      </c>
      <c r="H17" s="459" t="str">
        <f t="shared" si="1"/>
        <v>kg</v>
      </c>
      <c r="I17" s="458" t="e">
        <f>IF('200 g'!$C$67&gt;0,"+",IF('200 g'!$C$67&lt;0,"-"," "))</f>
        <v>#DIV/0!</v>
      </c>
      <c r="J17" s="540" t="e">
        <f>ABS('200 g'!$C$67)</f>
        <v>#DIV/0!</v>
      </c>
      <c r="K17" s="461" t="s">
        <v>119</v>
      </c>
      <c r="L17" s="461" t="e">
        <f>'200 g'!$C$64</f>
        <v>#DIV/0!</v>
      </c>
      <c r="M17" s="462" t="s">
        <v>119</v>
      </c>
      <c r="N17" s="463" t="e">
        <f>'200 g'!$AG$129</f>
        <v>#DIV/0!</v>
      </c>
      <c r="O17" s="463" t="str">
        <f>datos!E175&amp;" "&amp;datos!F175</f>
        <v>0 kg</v>
      </c>
      <c r="P17" s="463" t="e">
        <f>VLOOKUP(O17,'Salida de datos'!$C$63:$J$87,datos!E372+1,FALSE)</f>
        <v>#N/A</v>
      </c>
      <c r="Q17" s="540" t="e">
        <f t="shared" si="2"/>
        <v>#N/A</v>
      </c>
      <c r="R17" s="640" t="e">
        <f t="shared" si="3"/>
        <v>#DIV/0!</v>
      </c>
      <c r="S17" s="641"/>
      <c r="T17" s="543" t="str">
        <f t="shared" si="4"/>
        <v>**</v>
      </c>
      <c r="U17" s="543" t="str">
        <f t="shared" si="5"/>
        <v>*</v>
      </c>
      <c r="V17" s="543" t="str">
        <f t="shared" si="6"/>
        <v>*</v>
      </c>
      <c r="W17" s="543" t="str">
        <f t="shared" si="7"/>
        <v>*</v>
      </c>
      <c r="X17" s="543" t="str">
        <f t="shared" si="8"/>
        <v>*</v>
      </c>
      <c r="Y17" s="543" t="str">
        <f t="shared" si="10"/>
        <v>**</v>
      </c>
      <c r="Z17" s="546" t="str">
        <f t="shared" si="9"/>
        <v>**</v>
      </c>
    </row>
    <row r="18" spans="3:26" ht="14.4" customHeight="1" x14ac:dyDescent="0.3">
      <c r="C18" s="457">
        <f>datos!A183</f>
        <v>11</v>
      </c>
      <c r="D18" s="457" t="str">
        <f>datos!M185</f>
        <v>No Aplica (N/A)</v>
      </c>
      <c r="E18" s="458">
        <f>datos!E192</f>
        <v>0</v>
      </c>
      <c r="F18" s="459" t="str">
        <f>datos!F192</f>
        <v>kg</v>
      </c>
      <c r="G18" s="460">
        <f t="shared" si="0"/>
        <v>0</v>
      </c>
      <c r="H18" s="459" t="str">
        <f t="shared" si="1"/>
        <v>kg</v>
      </c>
      <c r="I18" s="458" t="e">
        <f>IF('200 g.'!$C$67&gt;0,"+",IF('200 g.'!$C$67&lt;0,"-"," "))</f>
        <v>#DIV/0!</v>
      </c>
      <c r="J18" s="540" t="e">
        <f>ABS('200 g.'!$C$67)</f>
        <v>#DIV/0!</v>
      </c>
      <c r="K18" s="461" t="s">
        <v>119</v>
      </c>
      <c r="L18" s="461" t="e">
        <f>'200 g.'!$C$64</f>
        <v>#DIV/0!</v>
      </c>
      <c r="M18" s="462" t="s">
        <v>119</v>
      </c>
      <c r="N18" s="463" t="e">
        <f>'200 g.'!$AG$129</f>
        <v>#DIV/0!</v>
      </c>
      <c r="O18" s="463" t="str">
        <f>datos!E192&amp;" "&amp;datos!F192</f>
        <v>0 kg</v>
      </c>
      <c r="P18" s="463" t="e">
        <f>VLOOKUP(O18,'Salida de datos'!$C$63:$J$87,datos!F364+1,FALSE)</f>
        <v>#N/A</v>
      </c>
      <c r="Q18" s="540" t="e">
        <f t="shared" si="2"/>
        <v>#N/A</v>
      </c>
      <c r="R18" s="640" t="e">
        <f t="shared" si="3"/>
        <v>#DIV/0!</v>
      </c>
      <c r="S18" s="641"/>
      <c r="T18" s="543" t="str">
        <f t="shared" si="4"/>
        <v>**</v>
      </c>
      <c r="U18" s="543" t="str">
        <f t="shared" si="5"/>
        <v>*</v>
      </c>
      <c r="V18" s="543" t="str">
        <f t="shared" si="6"/>
        <v>*</v>
      </c>
      <c r="W18" s="543" t="str">
        <f t="shared" si="7"/>
        <v>*</v>
      </c>
      <c r="X18" s="543" t="str">
        <f t="shared" si="8"/>
        <v>*</v>
      </c>
      <c r="Y18" s="543" t="str">
        <f t="shared" si="10"/>
        <v>**</v>
      </c>
      <c r="Z18" s="546" t="str">
        <f t="shared" si="9"/>
        <v>**</v>
      </c>
    </row>
    <row r="19" spans="3:26" ht="14.4" customHeight="1" x14ac:dyDescent="0.3">
      <c r="C19" s="457">
        <f>datos!A200</f>
        <v>12</v>
      </c>
      <c r="D19" s="457" t="str">
        <f>datos!M202</f>
        <v>No Aplica (N/A)</v>
      </c>
      <c r="E19" s="458">
        <f>datos!E209</f>
        <v>0</v>
      </c>
      <c r="F19" s="459" t="str">
        <f>datos!F209</f>
        <v>kg</v>
      </c>
      <c r="G19" s="460">
        <f t="shared" si="0"/>
        <v>0</v>
      </c>
      <c r="H19" s="459" t="str">
        <f t="shared" si="1"/>
        <v>kg</v>
      </c>
      <c r="I19" s="458" t="e">
        <f>IF('500 g'!$C$67&gt;0,"+",IF('500 g'!$C$67&lt;0,"-"," "))</f>
        <v>#DIV/0!</v>
      </c>
      <c r="J19" s="540" t="e">
        <f>ABS('500 g'!$C$67)</f>
        <v>#DIV/0!</v>
      </c>
      <c r="K19" s="461" t="s">
        <v>119</v>
      </c>
      <c r="L19" s="461" t="e">
        <f>'500 g'!$C$64</f>
        <v>#DIV/0!</v>
      </c>
      <c r="M19" s="462" t="s">
        <v>119</v>
      </c>
      <c r="N19" s="463" t="e">
        <f>'500 g'!$AG$129</f>
        <v>#DIV/0!</v>
      </c>
      <c r="O19" s="463" t="str">
        <f>datos!E209&amp;" "&amp;datos!F209</f>
        <v>0 kg</v>
      </c>
      <c r="P19" s="463" t="e">
        <f>VLOOKUP(O19,'Salida de datos'!$C$63:$J$87,datos!F365+1,FALSE)</f>
        <v>#N/A</v>
      </c>
      <c r="Q19" s="540" t="e">
        <f t="shared" si="2"/>
        <v>#N/A</v>
      </c>
      <c r="R19" s="640" t="e">
        <f t="shared" si="3"/>
        <v>#DIV/0!</v>
      </c>
      <c r="S19" s="641"/>
      <c r="T19" s="543" t="str">
        <f t="shared" si="4"/>
        <v>**</v>
      </c>
      <c r="U19" s="543" t="str">
        <f t="shared" si="5"/>
        <v>*</v>
      </c>
      <c r="V19" s="543" t="str">
        <f t="shared" si="6"/>
        <v>*</v>
      </c>
      <c r="W19" s="543" t="str">
        <f t="shared" si="7"/>
        <v>*</v>
      </c>
      <c r="X19" s="543" t="str">
        <f t="shared" si="8"/>
        <v>*</v>
      </c>
      <c r="Y19" s="543" t="str">
        <f t="shared" si="10"/>
        <v>**</v>
      </c>
      <c r="Z19" s="546" t="str">
        <f t="shared" si="9"/>
        <v>**</v>
      </c>
    </row>
    <row r="20" spans="3:26" ht="14.4" customHeight="1" x14ac:dyDescent="0.3">
      <c r="C20" s="457">
        <f>datos!A217</f>
        <v>13</v>
      </c>
      <c r="D20" s="457" t="str">
        <f>datos!M219</f>
        <v>No Aplica (N/A)</v>
      </c>
      <c r="E20" s="458">
        <f>datos!E226</f>
        <v>0</v>
      </c>
      <c r="F20" s="459" t="str">
        <f>datos!F226</f>
        <v>g</v>
      </c>
      <c r="G20" s="460">
        <f t="shared" si="0"/>
        <v>0</v>
      </c>
      <c r="H20" s="459" t="str">
        <f t="shared" si="1"/>
        <v>g</v>
      </c>
      <c r="I20" s="458" t="e">
        <f>IF('1 kg'!$C$67&gt;0,"+",IF('1 kg'!$C$67&lt;0,"-"," "))</f>
        <v>#DIV/0!</v>
      </c>
      <c r="J20" s="540" t="e">
        <f>ABS('1 kg'!$C$67)</f>
        <v>#DIV/0!</v>
      </c>
      <c r="K20" s="461" t="s">
        <v>119</v>
      </c>
      <c r="L20" s="461" t="e">
        <f>'1 kg'!$C$64</f>
        <v>#DIV/0!</v>
      </c>
      <c r="M20" s="462" t="s">
        <v>119</v>
      </c>
      <c r="N20" s="463" t="e">
        <f>'1 kg'!$AG$129</f>
        <v>#DIV/0!</v>
      </c>
      <c r="O20" s="463" t="str">
        <f>datos!E226&amp;" "&amp;datos!F226</f>
        <v>0 g</v>
      </c>
      <c r="P20" s="463" t="e">
        <f>VLOOKUP(O20,'Salida de datos'!$C$63:$J$87,datos!F366+1,FALSE)</f>
        <v>#N/A</v>
      </c>
      <c r="Q20" s="540" t="e">
        <f t="shared" si="2"/>
        <v>#N/A</v>
      </c>
      <c r="R20" s="640" t="e">
        <f t="shared" si="3"/>
        <v>#DIV/0!</v>
      </c>
      <c r="S20" s="641"/>
      <c r="T20" s="543" t="str">
        <f t="shared" si="4"/>
        <v>**</v>
      </c>
      <c r="U20" s="543" t="str">
        <f t="shared" si="5"/>
        <v>*</v>
      </c>
      <c r="V20" s="543" t="str">
        <f t="shared" si="6"/>
        <v>*</v>
      </c>
      <c r="W20" s="543" t="str">
        <f t="shared" si="7"/>
        <v>*</v>
      </c>
      <c r="X20" s="543" t="str">
        <f t="shared" si="8"/>
        <v>*</v>
      </c>
      <c r="Y20" s="543" t="str">
        <f t="shared" si="10"/>
        <v>**</v>
      </c>
      <c r="Z20" s="546" t="str">
        <f t="shared" si="9"/>
        <v>**</v>
      </c>
    </row>
    <row r="21" spans="3:26" ht="14.4" customHeight="1" x14ac:dyDescent="0.3">
      <c r="C21" s="457">
        <f>datos!A234</f>
        <v>14</v>
      </c>
      <c r="D21" s="457" t="str">
        <f>datos!M236</f>
        <v>No Aplica (N/A)</v>
      </c>
      <c r="E21" s="458">
        <f>datos!E243</f>
        <v>0</v>
      </c>
      <c r="F21" s="459" t="str">
        <f>datos!F243</f>
        <v>kg</v>
      </c>
      <c r="G21" s="460">
        <f t="shared" si="0"/>
        <v>0</v>
      </c>
      <c r="H21" s="459" t="str">
        <f t="shared" si="1"/>
        <v>kg</v>
      </c>
      <c r="I21" s="458" t="e">
        <f>IF('2 kg'!$C$67&gt;0,"+",IF('2 kg'!$C$67&lt;0,"-"," "))</f>
        <v>#DIV/0!</v>
      </c>
      <c r="J21" s="540" t="e">
        <f>ABS('2 kg'!$C$67)</f>
        <v>#DIV/0!</v>
      </c>
      <c r="K21" s="461" t="s">
        <v>119</v>
      </c>
      <c r="L21" s="461" t="e">
        <f>'2 kg'!$C$64</f>
        <v>#DIV/0!</v>
      </c>
      <c r="M21" s="462" t="s">
        <v>119</v>
      </c>
      <c r="N21" s="463" t="e">
        <f>'2 kg'!$AG$129</f>
        <v>#DIV/0!</v>
      </c>
      <c r="O21" s="463" t="str">
        <f>datos!E243&amp;" "&amp;datos!F243</f>
        <v>0 kg</v>
      </c>
      <c r="P21" s="463" t="e">
        <f>VLOOKUP(O21,'Salida de datos'!$C$63:$J$87,datos!F367+1,FALSE)</f>
        <v>#N/A</v>
      </c>
      <c r="Q21" s="540" t="e">
        <f t="shared" si="2"/>
        <v>#N/A</v>
      </c>
      <c r="R21" s="640" t="e">
        <f t="shared" si="3"/>
        <v>#DIV/0!</v>
      </c>
      <c r="S21" s="641"/>
      <c r="T21" s="543" t="str">
        <f t="shared" si="4"/>
        <v>**</v>
      </c>
      <c r="U21" s="543" t="str">
        <f t="shared" si="5"/>
        <v>*</v>
      </c>
      <c r="V21" s="543" t="str">
        <f t="shared" si="6"/>
        <v>*</v>
      </c>
      <c r="W21" s="543" t="str">
        <f t="shared" si="7"/>
        <v>*</v>
      </c>
      <c r="X21" s="543" t="str">
        <f t="shared" si="8"/>
        <v>*</v>
      </c>
      <c r="Y21" s="543" t="str">
        <f t="shared" si="10"/>
        <v>**</v>
      </c>
      <c r="Z21" s="546" t="str">
        <f t="shared" si="9"/>
        <v>**</v>
      </c>
    </row>
    <row r="22" spans="3:26" ht="14.4" customHeight="1" x14ac:dyDescent="0.3">
      <c r="C22" s="457">
        <f>datos!A251</f>
        <v>15</v>
      </c>
      <c r="D22" s="457" t="str">
        <f>datos!M253</f>
        <v>No Aplica (N/A)</v>
      </c>
      <c r="E22" s="458">
        <f>datos!E260</f>
        <v>0</v>
      </c>
      <c r="F22" s="459" t="str">
        <f>datos!F260</f>
        <v>kg</v>
      </c>
      <c r="G22" s="460">
        <f t="shared" si="0"/>
        <v>0</v>
      </c>
      <c r="H22" s="459" t="str">
        <f t="shared" si="1"/>
        <v>kg</v>
      </c>
      <c r="I22" s="458" t="e">
        <f>IF('2 kg.'!$C$67&gt;0,"+",IF('2 kg.'!$C$67&lt;0,"-"," "))</f>
        <v>#DIV/0!</v>
      </c>
      <c r="J22" s="540" t="e">
        <f>ABS('2 kg.'!$C$67)</f>
        <v>#DIV/0!</v>
      </c>
      <c r="K22" s="461" t="s">
        <v>119</v>
      </c>
      <c r="L22" s="461" t="e">
        <f>'2 kg.'!$C$64</f>
        <v>#DIV/0!</v>
      </c>
      <c r="M22" s="462" t="s">
        <v>119</v>
      </c>
      <c r="N22" s="463" t="e">
        <f>'2 kg.'!$AG$129</f>
        <v>#DIV/0!</v>
      </c>
      <c r="O22" s="463" t="str">
        <f>datos!E260&amp;" "&amp;datos!F260</f>
        <v>0 kg</v>
      </c>
      <c r="P22" s="463" t="e">
        <f>VLOOKUP(O22,'Salida de datos'!$C$63:$J$87,datos!F368+1,FALSE)</f>
        <v>#N/A</v>
      </c>
      <c r="Q22" s="540" t="e">
        <f t="shared" si="2"/>
        <v>#N/A</v>
      </c>
      <c r="R22" s="640" t="e">
        <f t="shared" si="3"/>
        <v>#DIV/0!</v>
      </c>
      <c r="S22" s="641"/>
      <c r="T22" s="543" t="str">
        <f t="shared" si="4"/>
        <v>**</v>
      </c>
      <c r="U22" s="543" t="str">
        <f t="shared" si="5"/>
        <v>*</v>
      </c>
      <c r="V22" s="543" t="str">
        <f t="shared" si="6"/>
        <v>*</v>
      </c>
      <c r="W22" s="543" t="str">
        <f t="shared" si="7"/>
        <v>*</v>
      </c>
      <c r="X22" s="543" t="str">
        <f t="shared" si="8"/>
        <v>*</v>
      </c>
      <c r="Y22" s="543" t="str">
        <f t="shared" si="10"/>
        <v>**</v>
      </c>
      <c r="Z22" s="546" t="str">
        <f t="shared" si="9"/>
        <v>**</v>
      </c>
    </row>
    <row r="23" spans="3:26" ht="14.4" customHeight="1" x14ac:dyDescent="0.3">
      <c r="C23" s="457">
        <f>datos!A268</f>
        <v>16</v>
      </c>
      <c r="D23" s="457" t="str">
        <f>datos!M270</f>
        <v>No Aplica (N/A)</v>
      </c>
      <c r="E23" s="458">
        <f>datos!E277</f>
        <v>0</v>
      </c>
      <c r="F23" s="459" t="str">
        <f>datos!F277</f>
        <v>kg</v>
      </c>
      <c r="G23" s="460">
        <f t="shared" si="0"/>
        <v>0</v>
      </c>
      <c r="H23" s="459" t="str">
        <f t="shared" si="1"/>
        <v>kg</v>
      </c>
      <c r="I23" s="458" t="e">
        <f>IF('5 kg'!$C$67&gt;0,"+",IF('5 kg'!$C$67&lt;0,"-"," "))</f>
        <v>#DIV/0!</v>
      </c>
      <c r="J23" s="540" t="e">
        <f>ABS('5 kg'!$C$67)</f>
        <v>#DIV/0!</v>
      </c>
      <c r="K23" s="461" t="s">
        <v>119</v>
      </c>
      <c r="L23" s="461" t="e">
        <f>'5 kg'!$C$64</f>
        <v>#DIV/0!</v>
      </c>
      <c r="M23" s="462" t="s">
        <v>119</v>
      </c>
      <c r="N23" s="463" t="e">
        <f>'5 kg'!$AG$129</f>
        <v>#DIV/0!</v>
      </c>
      <c r="O23" s="463" t="str">
        <f>datos!E277&amp;" "&amp;datos!F277</f>
        <v>0 kg</v>
      </c>
      <c r="P23" s="463" t="e">
        <f>VLOOKUP(O23,'Salida de datos'!$C$63:$J$87,datos!F369+1,FALSE)</f>
        <v>#N/A</v>
      </c>
      <c r="Q23" s="540" t="e">
        <f t="shared" si="2"/>
        <v>#N/A</v>
      </c>
      <c r="R23" s="640" t="e">
        <f t="shared" si="3"/>
        <v>#DIV/0!</v>
      </c>
      <c r="S23" s="641"/>
      <c r="T23" s="543" t="str">
        <f t="shared" si="4"/>
        <v>**</v>
      </c>
      <c r="U23" s="543" t="str">
        <f t="shared" si="5"/>
        <v>*</v>
      </c>
      <c r="V23" s="543" t="str">
        <f t="shared" si="6"/>
        <v>*</v>
      </c>
      <c r="W23" s="543" t="str">
        <f t="shared" si="7"/>
        <v>*</v>
      </c>
      <c r="X23" s="543" t="str">
        <f t="shared" si="8"/>
        <v>*</v>
      </c>
      <c r="Y23" s="543" t="str">
        <f t="shared" si="10"/>
        <v>**</v>
      </c>
      <c r="Z23" s="546" t="str">
        <f t="shared" si="9"/>
        <v>**</v>
      </c>
    </row>
    <row r="24" spans="3:26" ht="14.4" customHeight="1" x14ac:dyDescent="0.3">
      <c r="C24" s="457">
        <f>datos!A285</f>
        <v>17</v>
      </c>
      <c r="D24" s="457" t="str">
        <f>datos!M287</f>
        <v>No Aplica (N/A)</v>
      </c>
      <c r="E24" s="458">
        <f>datos!E294</f>
        <v>0</v>
      </c>
      <c r="F24" s="459" t="str">
        <f>datos!F294</f>
        <v>g</v>
      </c>
      <c r="G24" s="460">
        <f t="shared" si="0"/>
        <v>0</v>
      </c>
      <c r="H24" s="459" t="str">
        <f t="shared" si="1"/>
        <v>g</v>
      </c>
      <c r="I24" s="458" t="e">
        <f>IF('10 kg'!$C$67&gt;0,"+",IF('10 kg'!$C$67&lt;0,"-"," "))</f>
        <v>#DIV/0!</v>
      </c>
      <c r="J24" s="540" t="e">
        <f>ABS('10 kg'!$C$67)</f>
        <v>#DIV/0!</v>
      </c>
      <c r="K24" s="461" t="s">
        <v>119</v>
      </c>
      <c r="L24" s="461" t="e">
        <f>'10 kg'!$C$64</f>
        <v>#DIV/0!</v>
      </c>
      <c r="M24" s="462" t="s">
        <v>119</v>
      </c>
      <c r="N24" s="463" t="e">
        <f>'10 kg'!$AG$129</f>
        <v>#DIV/0!</v>
      </c>
      <c r="O24" s="463" t="str">
        <f>datos!E294&amp;" "&amp;datos!F294</f>
        <v>0 g</v>
      </c>
      <c r="P24" s="463" t="e">
        <f>VLOOKUP(O24,'Salida de datos'!$C$63:$J$87,datos!F370+1,FALSE)</f>
        <v>#N/A</v>
      </c>
      <c r="Q24" s="540" t="e">
        <f t="shared" si="2"/>
        <v>#N/A</v>
      </c>
      <c r="R24" s="640" t="e">
        <f t="shared" si="3"/>
        <v>#DIV/0!</v>
      </c>
      <c r="S24" s="641"/>
      <c r="T24" s="543" t="str">
        <f t="shared" si="4"/>
        <v>**</v>
      </c>
      <c r="U24" s="543" t="str">
        <f t="shared" si="5"/>
        <v>*</v>
      </c>
      <c r="V24" s="543" t="str">
        <f t="shared" si="6"/>
        <v>*</v>
      </c>
      <c r="W24" s="543" t="str">
        <f t="shared" si="7"/>
        <v>*</v>
      </c>
      <c r="X24" s="543" t="str">
        <f t="shared" si="8"/>
        <v>*</v>
      </c>
      <c r="Y24" s="543" t="str">
        <f t="shared" si="10"/>
        <v>**</v>
      </c>
      <c r="Z24" s="546" t="str">
        <f t="shared" si="9"/>
        <v>**</v>
      </c>
    </row>
    <row r="25" spans="3:26" ht="14.4" customHeight="1" x14ac:dyDescent="0.3">
      <c r="C25" s="457">
        <f>datos!A302</f>
        <v>18</v>
      </c>
      <c r="D25" s="457" t="str">
        <f>datos!M304</f>
        <v>No Aplica (N/A)</v>
      </c>
      <c r="E25" s="458">
        <f>datos!E311</f>
        <v>0</v>
      </c>
      <c r="F25" s="459" t="str">
        <f>datos!F311</f>
        <v>g</v>
      </c>
      <c r="G25" s="460">
        <f t="shared" si="0"/>
        <v>0</v>
      </c>
      <c r="H25" s="459" t="str">
        <f t="shared" si="1"/>
        <v>g</v>
      </c>
      <c r="I25" s="458" t="e">
        <f>IF('20 kg'!$C$67&gt;0,"+",IF('20 kg'!$C$67&lt;0,"-"," "))</f>
        <v>#DIV/0!</v>
      </c>
      <c r="J25" s="540" t="e">
        <f>ABS('20 kg'!$C$67)</f>
        <v>#DIV/0!</v>
      </c>
      <c r="K25" s="461" t="s">
        <v>119</v>
      </c>
      <c r="L25" s="461" t="e">
        <f>'20 kg'!$C$64</f>
        <v>#DIV/0!</v>
      </c>
      <c r="M25" s="462" t="s">
        <v>119</v>
      </c>
      <c r="N25" s="463" t="e">
        <f>'20 kg'!$AG$129</f>
        <v>#DIV/0!</v>
      </c>
      <c r="O25" s="463" t="str">
        <f>datos!E311&amp;" "&amp;datos!F311</f>
        <v>0 g</v>
      </c>
      <c r="P25" s="463" t="e">
        <f>VLOOKUP(O25,'Salida de datos'!$C$63:$J$87,datos!F371+1,FALSE)</f>
        <v>#N/A</v>
      </c>
      <c r="Q25" s="540" t="e">
        <f t="shared" si="2"/>
        <v>#N/A</v>
      </c>
      <c r="R25" s="640" t="e">
        <f t="shared" si="3"/>
        <v>#DIV/0!</v>
      </c>
      <c r="S25" s="641"/>
      <c r="T25" s="543" t="str">
        <f t="shared" si="4"/>
        <v>**</v>
      </c>
      <c r="U25" s="543" t="str">
        <f t="shared" si="5"/>
        <v>*</v>
      </c>
      <c r="V25" s="543" t="str">
        <f t="shared" si="6"/>
        <v>*</v>
      </c>
      <c r="W25" s="543" t="str">
        <f t="shared" si="7"/>
        <v>*</v>
      </c>
      <c r="X25" s="543" t="str">
        <f t="shared" si="8"/>
        <v>*</v>
      </c>
      <c r="Y25" s="543" t="str">
        <f t="shared" si="10"/>
        <v>**</v>
      </c>
      <c r="Z25" s="546" t="str">
        <f t="shared" si="9"/>
        <v>**</v>
      </c>
    </row>
    <row r="26" spans="3:26" ht="14.4" customHeight="1" x14ac:dyDescent="0.3">
      <c r="C26" s="457">
        <f>datos!A319</f>
        <v>19</v>
      </c>
      <c r="D26" s="457" t="str">
        <f>datos!M321</f>
        <v>No Aplica (N/A)</v>
      </c>
      <c r="E26" s="458">
        <f>datos!E328</f>
        <v>0</v>
      </c>
      <c r="F26" s="459" t="str">
        <f>datos!F328</f>
        <v>kg</v>
      </c>
      <c r="G26" s="460">
        <f t="shared" si="0"/>
        <v>0</v>
      </c>
      <c r="H26" s="459" t="str">
        <f t="shared" si="1"/>
        <v>kg</v>
      </c>
      <c r="I26" s="458" t="e">
        <f>IF('20 kg.'!$C$67&gt;0,"+",IF('20 kg.'!$C$67&lt;0,"-"," "))</f>
        <v>#DIV/0!</v>
      </c>
      <c r="J26" s="540" t="e">
        <f>ABS('20 kg.'!$C$67)</f>
        <v>#DIV/0!</v>
      </c>
      <c r="K26" s="461" t="s">
        <v>119</v>
      </c>
      <c r="L26" s="461" t="e">
        <f>'20 kg.'!$C$64</f>
        <v>#DIV/0!</v>
      </c>
      <c r="M26" s="462" t="s">
        <v>119</v>
      </c>
      <c r="N26" s="463" t="e">
        <f>'20 kg.'!$AG$129</f>
        <v>#DIV/0!</v>
      </c>
      <c r="O26" s="463" t="str">
        <f>datos!E328&amp;" "&amp;datos!F328</f>
        <v>0 kg</v>
      </c>
      <c r="P26" s="463" t="e">
        <f>VLOOKUP(O26,'Salida de datos'!$C$63:$J$87,datos!F372+1,FALSE)</f>
        <v>#N/A</v>
      </c>
      <c r="Q26" s="540" t="e">
        <f t="shared" si="2"/>
        <v>#N/A</v>
      </c>
      <c r="R26" s="640" t="e">
        <f t="shared" si="3"/>
        <v>#DIV/0!</v>
      </c>
      <c r="S26" s="641"/>
      <c r="T26" s="543" t="str">
        <f t="shared" si="4"/>
        <v>**</v>
      </c>
      <c r="U26" s="543" t="str">
        <f t="shared" si="5"/>
        <v>*</v>
      </c>
      <c r="V26" s="543" t="str">
        <f t="shared" si="6"/>
        <v>*</v>
      </c>
      <c r="W26" s="543" t="str">
        <f t="shared" si="7"/>
        <v>*</v>
      </c>
      <c r="X26" s="543" t="str">
        <f t="shared" si="8"/>
        <v>*</v>
      </c>
      <c r="Y26" s="543" t="str">
        <f t="shared" si="10"/>
        <v>**</v>
      </c>
      <c r="Z26" s="546" t="str">
        <f t="shared" si="9"/>
        <v>**</v>
      </c>
    </row>
    <row r="27" spans="3:26" ht="14.4" customHeight="1" x14ac:dyDescent="0.3">
      <c r="C27" s="457">
        <f>datos!A336</f>
        <v>20</v>
      </c>
      <c r="D27" s="457" t="str">
        <f>datos!M338</f>
        <v>No Aplica (N/A)</v>
      </c>
      <c r="E27" s="458">
        <f>datos!E345</f>
        <v>0</v>
      </c>
      <c r="F27" s="459" t="str">
        <f>datos!F345</f>
        <v>kg</v>
      </c>
      <c r="G27" s="460">
        <f t="shared" si="0"/>
        <v>0</v>
      </c>
      <c r="H27" s="459" t="str">
        <f t="shared" si="1"/>
        <v>kg</v>
      </c>
      <c r="I27" s="458" t="e">
        <f>IF('50 kg'!$C$67&gt;0,"+",IF('50 kg'!$C$67&lt;0,"-"," "))</f>
        <v>#DIV/0!</v>
      </c>
      <c r="J27" s="540" t="e">
        <f>ABS('50 kg'!$C$67)</f>
        <v>#DIV/0!</v>
      </c>
      <c r="K27" s="461" t="s">
        <v>119</v>
      </c>
      <c r="L27" s="461" t="e">
        <f>'50 kg'!$C$64</f>
        <v>#DIV/0!</v>
      </c>
      <c r="M27" s="462" t="s">
        <v>119</v>
      </c>
      <c r="N27" s="463" t="e">
        <f>'50 kg'!$AG$129</f>
        <v>#DIV/0!</v>
      </c>
      <c r="O27" s="463" t="str">
        <f>datos!E345&amp;" "&amp;datos!F345</f>
        <v>0 kg</v>
      </c>
      <c r="P27" s="463" t="e">
        <f>VLOOKUP(O27,'Salida de datos'!$C$63:$J$87,datos!G364+1,FALSE)</f>
        <v>#N/A</v>
      </c>
      <c r="Q27" s="540" t="e">
        <f t="shared" si="2"/>
        <v>#N/A</v>
      </c>
      <c r="R27" s="640" t="e">
        <f t="shared" si="3"/>
        <v>#DIV/0!</v>
      </c>
      <c r="S27" s="641"/>
      <c r="T27" s="543" t="str">
        <f t="shared" si="4"/>
        <v>**</v>
      </c>
      <c r="U27" s="543" t="str">
        <f t="shared" si="5"/>
        <v>*</v>
      </c>
      <c r="V27" s="543" t="str">
        <f t="shared" si="6"/>
        <v>*</v>
      </c>
      <c r="W27" s="543" t="str">
        <f t="shared" si="7"/>
        <v>*</v>
      </c>
      <c r="X27" s="543" t="str">
        <f t="shared" si="8"/>
        <v>*</v>
      </c>
      <c r="Y27" s="543" t="str">
        <f t="shared" si="10"/>
        <v>**</v>
      </c>
      <c r="Z27" s="546" t="str">
        <f t="shared" si="9"/>
        <v>**</v>
      </c>
    </row>
    <row r="28" spans="3:26" ht="14.4" customHeight="1" x14ac:dyDescent="0.3">
      <c r="C28" s="457"/>
      <c r="D28" s="457"/>
      <c r="E28" s="458"/>
      <c r="F28" s="459"/>
      <c r="G28" s="459"/>
      <c r="H28" s="459"/>
      <c r="I28" s="458"/>
      <c r="J28" s="465"/>
      <c r="K28" s="461"/>
      <c r="L28" s="459"/>
      <c r="M28" s="461"/>
      <c r="N28" s="461"/>
      <c r="O28" s="461"/>
      <c r="P28" s="461"/>
      <c r="Q28" s="463"/>
      <c r="R28" s="630"/>
      <c r="S28" s="631"/>
      <c r="T28" s="543"/>
      <c r="U28" s="543"/>
      <c r="V28" s="543"/>
      <c r="W28" s="543"/>
      <c r="X28" s="543"/>
      <c r="Y28" s="544"/>
      <c r="Z28" s="545"/>
    </row>
    <row r="29" spans="3:26" ht="14.4" customHeight="1" x14ac:dyDescent="0.3">
      <c r="C29" s="457"/>
      <c r="D29" s="457"/>
      <c r="E29" s="458"/>
      <c r="F29" s="459"/>
      <c r="G29" s="459"/>
      <c r="H29" s="459"/>
      <c r="I29" s="458"/>
      <c r="J29" s="465"/>
      <c r="K29" s="461"/>
      <c r="L29" s="459"/>
      <c r="M29" s="461"/>
      <c r="N29" s="461"/>
      <c r="O29" s="461"/>
      <c r="P29" s="461"/>
      <c r="Q29" s="463"/>
      <c r="R29" s="630"/>
      <c r="S29" s="631"/>
      <c r="T29" s="543"/>
      <c r="U29" s="543"/>
      <c r="V29" s="543"/>
      <c r="W29" s="543"/>
      <c r="X29" s="543"/>
      <c r="Y29" s="544"/>
      <c r="Z29" s="539"/>
    </row>
    <row r="30" spans="3:26" ht="14.4" customHeight="1" x14ac:dyDescent="0.3">
      <c r="C30" s="457"/>
      <c r="D30" s="457"/>
      <c r="E30" s="458"/>
      <c r="F30" s="459"/>
      <c r="G30" s="459"/>
      <c r="H30" s="459"/>
      <c r="I30" s="458"/>
      <c r="J30" s="465"/>
      <c r="K30" s="461"/>
      <c r="L30" s="459"/>
      <c r="M30" s="461"/>
      <c r="N30" s="461"/>
      <c r="O30" s="461"/>
      <c r="P30" s="461"/>
      <c r="Q30" s="463"/>
      <c r="R30" s="630"/>
      <c r="S30" s="631"/>
      <c r="T30" s="543"/>
      <c r="U30" s="543"/>
      <c r="V30" s="543"/>
      <c r="W30" s="543"/>
      <c r="X30" s="543"/>
      <c r="Y30" s="544"/>
      <c r="Z30" s="539"/>
    </row>
    <row r="31" spans="3:26" ht="14.4" customHeight="1" x14ac:dyDescent="0.3">
      <c r="C31" s="457"/>
      <c r="D31" s="457"/>
      <c r="E31" s="458"/>
      <c r="F31" s="459"/>
      <c r="G31" s="459"/>
      <c r="H31" s="459"/>
      <c r="I31" s="458"/>
      <c r="J31" s="465"/>
      <c r="K31" s="461"/>
      <c r="L31" s="459"/>
      <c r="M31" s="461"/>
      <c r="N31" s="461"/>
      <c r="O31" s="461"/>
      <c r="P31" s="461"/>
      <c r="Q31" s="463"/>
      <c r="R31" s="630"/>
      <c r="S31" s="631"/>
      <c r="T31" s="543"/>
      <c r="U31" s="543"/>
      <c r="V31" s="543"/>
      <c r="W31" s="543"/>
      <c r="X31" s="543"/>
      <c r="Y31" s="544"/>
      <c r="Z31" s="539"/>
    </row>
    <row r="32" spans="3:26" ht="14.4" customHeight="1" x14ac:dyDescent="0.3">
      <c r="C32" s="457"/>
      <c r="D32" s="457"/>
      <c r="E32" s="458"/>
      <c r="F32" s="459"/>
      <c r="G32" s="459"/>
      <c r="H32" s="459"/>
      <c r="I32" s="458"/>
      <c r="J32" s="465"/>
      <c r="K32" s="461"/>
      <c r="L32" s="459"/>
      <c r="M32" s="461"/>
      <c r="N32" s="461"/>
      <c r="O32" s="461"/>
      <c r="P32" s="461"/>
      <c r="Q32" s="463"/>
      <c r="R32" s="630"/>
      <c r="S32" s="631"/>
      <c r="T32" s="543"/>
      <c r="U32" s="543"/>
      <c r="V32" s="543"/>
      <c r="W32" s="543"/>
      <c r="X32" s="543"/>
      <c r="Y32" s="544"/>
      <c r="Z32" s="539"/>
    </row>
    <row r="33" spans="3:26" x14ac:dyDescent="0.3">
      <c r="C33" s="457"/>
      <c r="D33" s="457"/>
      <c r="E33" s="458"/>
      <c r="F33" s="459"/>
      <c r="G33" s="459"/>
      <c r="H33" s="459"/>
      <c r="I33" s="458"/>
      <c r="J33" s="465"/>
      <c r="K33" s="461"/>
      <c r="L33" s="459"/>
      <c r="M33" s="461"/>
      <c r="N33" s="461"/>
      <c r="O33" s="461"/>
      <c r="P33" s="461"/>
      <c r="Q33" s="463"/>
      <c r="R33" s="630"/>
      <c r="S33" s="631"/>
      <c r="T33" s="543"/>
      <c r="U33" s="543"/>
      <c r="V33" s="543"/>
      <c r="W33" s="543"/>
      <c r="X33" s="543"/>
      <c r="Y33" s="544"/>
      <c r="Z33" s="539"/>
    </row>
    <row r="34" spans="3:26" x14ac:dyDescent="0.3">
      <c r="C34" s="457"/>
      <c r="D34" s="457"/>
      <c r="E34" s="458"/>
      <c r="F34" s="459"/>
      <c r="G34" s="459"/>
      <c r="H34" s="459"/>
      <c r="I34" s="458"/>
      <c r="J34" s="465"/>
      <c r="K34" s="461"/>
      <c r="L34" s="459"/>
      <c r="M34" s="461"/>
      <c r="N34" s="461"/>
      <c r="O34" s="461"/>
      <c r="P34" s="461"/>
      <c r="Q34" s="463"/>
      <c r="R34" s="630"/>
      <c r="S34" s="631"/>
      <c r="T34" s="543"/>
      <c r="U34" s="543"/>
      <c r="V34" s="543"/>
      <c r="W34" s="543"/>
      <c r="X34" s="543"/>
      <c r="Y34" s="544"/>
      <c r="Z34" s="539"/>
    </row>
    <row r="35" spans="3:26" x14ac:dyDescent="0.3">
      <c r="C35" s="457"/>
      <c r="D35" s="457"/>
      <c r="E35" s="458"/>
      <c r="F35" s="459"/>
      <c r="G35" s="459"/>
      <c r="H35" s="459"/>
      <c r="I35" s="458"/>
      <c r="J35" s="465"/>
      <c r="K35" s="461"/>
      <c r="L35" s="459"/>
      <c r="M35" s="461"/>
      <c r="N35" s="461"/>
      <c r="O35" s="461"/>
      <c r="P35" s="461"/>
      <c r="Q35" s="463"/>
      <c r="R35" s="630"/>
      <c r="S35" s="631"/>
      <c r="T35" s="543"/>
      <c r="U35" s="543"/>
      <c r="V35" s="543"/>
      <c r="W35" s="543"/>
      <c r="X35" s="543"/>
      <c r="Y35" s="544"/>
      <c r="Z35" s="539"/>
    </row>
    <row r="36" spans="3:26" x14ac:dyDescent="0.3">
      <c r="C36" s="457"/>
      <c r="D36" s="457"/>
      <c r="E36" s="458"/>
      <c r="F36" s="459"/>
      <c r="G36" s="459"/>
      <c r="H36" s="459"/>
      <c r="I36" s="458"/>
      <c r="J36" s="465"/>
      <c r="K36" s="461"/>
      <c r="L36" s="459"/>
      <c r="M36" s="461"/>
      <c r="N36" s="461"/>
      <c r="O36" s="463"/>
      <c r="P36" s="463"/>
      <c r="Q36" s="463"/>
      <c r="R36" s="630"/>
      <c r="S36" s="631"/>
      <c r="T36" s="543"/>
      <c r="U36" s="543"/>
      <c r="V36" s="543"/>
      <c r="W36" s="543"/>
      <c r="X36" s="543"/>
      <c r="Y36" s="544"/>
      <c r="Z36" s="539"/>
    </row>
    <row r="37" spans="3:26" x14ac:dyDescent="0.3">
      <c r="C37" s="457"/>
      <c r="D37" s="457"/>
      <c r="E37" s="458"/>
      <c r="F37" s="459"/>
      <c r="G37" s="459"/>
      <c r="H37" s="459"/>
      <c r="I37" s="458"/>
      <c r="J37" s="465"/>
      <c r="K37" s="461"/>
      <c r="L37" s="459"/>
      <c r="M37" s="461"/>
      <c r="N37" s="461"/>
      <c r="O37" s="463"/>
      <c r="P37" s="463"/>
      <c r="Q37" s="463"/>
      <c r="R37" s="630"/>
      <c r="S37" s="631"/>
      <c r="T37" s="543"/>
      <c r="U37" s="543"/>
      <c r="V37" s="543"/>
      <c r="W37" s="543"/>
      <c r="X37" s="543"/>
      <c r="Y37" s="544"/>
      <c r="Z37" s="539"/>
    </row>
    <row r="38" spans="3:26" x14ac:dyDescent="0.3">
      <c r="C38" s="60"/>
      <c r="D38" s="60"/>
      <c r="E38" s="60"/>
      <c r="F38" s="60"/>
      <c r="G38" s="60"/>
      <c r="H38" s="60"/>
      <c r="I38" s="60"/>
      <c r="J38" s="60"/>
    </row>
    <row r="39" spans="3:26" x14ac:dyDescent="0.3">
      <c r="C39" s="60"/>
      <c r="D39" s="60"/>
      <c r="E39" s="60"/>
      <c r="F39" s="60"/>
      <c r="G39" s="60"/>
      <c r="H39" s="60"/>
      <c r="I39" s="60"/>
      <c r="J39" s="60"/>
    </row>
    <row r="47" spans="3:26" x14ac:dyDescent="0.3">
      <c r="D47" s="541">
        <v>2</v>
      </c>
    </row>
    <row r="48" spans="3:26" x14ac:dyDescent="0.3">
      <c r="D48" s="541">
        <v>20</v>
      </c>
    </row>
    <row r="49" spans="3:10" x14ac:dyDescent="0.3">
      <c r="D49" s="541">
        <v>1000</v>
      </c>
    </row>
    <row r="50" spans="3:10" x14ac:dyDescent="0.3">
      <c r="D50" s="541">
        <v>2000</v>
      </c>
    </row>
    <row r="51" spans="3:10" x14ac:dyDescent="0.3">
      <c r="D51" s="541">
        <v>5000</v>
      </c>
    </row>
    <row r="61" spans="3:10" ht="15" x14ac:dyDescent="0.3">
      <c r="C61" s="615" t="s">
        <v>18</v>
      </c>
      <c r="D61" s="616"/>
      <c r="E61" s="616"/>
      <c r="F61" s="616"/>
      <c r="G61" s="616"/>
      <c r="H61" s="616"/>
      <c r="I61" s="616"/>
      <c r="J61" s="617"/>
    </row>
    <row r="62" spans="3:10" x14ac:dyDescent="0.3">
      <c r="C62" s="9" t="s">
        <v>19</v>
      </c>
      <c r="D62" s="615" t="s">
        <v>20</v>
      </c>
      <c r="E62" s="616"/>
      <c r="F62" s="616"/>
      <c r="G62" s="616"/>
      <c r="H62" s="616"/>
      <c r="I62" s="616"/>
      <c r="J62" s="617"/>
    </row>
    <row r="63" spans="3:10" x14ac:dyDescent="0.3">
      <c r="C63" s="9"/>
      <c r="D63" s="8" t="s">
        <v>33</v>
      </c>
      <c r="E63" s="58" t="s">
        <v>34</v>
      </c>
      <c r="F63" s="58" t="s">
        <v>26</v>
      </c>
      <c r="G63" s="58" t="s">
        <v>31</v>
      </c>
      <c r="H63" s="58" t="s">
        <v>29</v>
      </c>
      <c r="I63" s="58" t="s">
        <v>30</v>
      </c>
      <c r="J63" s="58" t="s">
        <v>35</v>
      </c>
    </row>
    <row r="64" spans="3:10" x14ac:dyDescent="0.3">
      <c r="C64" s="2" t="s">
        <v>758</v>
      </c>
      <c r="D64" s="2">
        <v>25</v>
      </c>
      <c r="E64" s="2">
        <v>80</v>
      </c>
      <c r="F64" s="2">
        <v>250</v>
      </c>
      <c r="G64" s="2">
        <v>800</v>
      </c>
      <c r="H64" s="2">
        <v>2500</v>
      </c>
      <c r="I64" s="2">
        <v>8000</v>
      </c>
      <c r="J64" s="2">
        <v>25000</v>
      </c>
    </row>
    <row r="65" spans="3:10" x14ac:dyDescent="0.3">
      <c r="C65" s="2" t="s">
        <v>759</v>
      </c>
      <c r="D65" s="2">
        <v>10</v>
      </c>
      <c r="E65" s="2">
        <v>30</v>
      </c>
      <c r="F65" s="2">
        <v>100</v>
      </c>
      <c r="G65" s="2">
        <v>300</v>
      </c>
      <c r="H65" s="2">
        <v>1000</v>
      </c>
      <c r="I65" s="2">
        <v>3000</v>
      </c>
      <c r="J65" s="2">
        <v>10000</v>
      </c>
    </row>
    <row r="66" spans="3:10" x14ac:dyDescent="0.3">
      <c r="C66" s="2" t="s">
        <v>760</v>
      </c>
      <c r="D66" s="2">
        <v>5</v>
      </c>
      <c r="E66" s="2">
        <v>16</v>
      </c>
      <c r="F66" s="2">
        <v>50</v>
      </c>
      <c r="G66" s="2">
        <v>160</v>
      </c>
      <c r="H66" s="2">
        <v>500</v>
      </c>
      <c r="I66" s="2">
        <v>1600</v>
      </c>
      <c r="J66" s="2">
        <v>5000</v>
      </c>
    </row>
    <row r="67" spans="3:10" x14ac:dyDescent="0.3">
      <c r="C67" s="2" t="s">
        <v>761</v>
      </c>
      <c r="D67" s="4">
        <v>2.5</v>
      </c>
      <c r="E67" s="2">
        <v>8</v>
      </c>
      <c r="F67" s="2">
        <v>25</v>
      </c>
      <c r="G67" s="2">
        <v>80</v>
      </c>
      <c r="H67" s="2">
        <v>250</v>
      </c>
      <c r="I67" s="2">
        <v>800</v>
      </c>
      <c r="J67" s="2">
        <v>2500</v>
      </c>
    </row>
    <row r="68" spans="3:10" x14ac:dyDescent="0.3">
      <c r="C68" s="2" t="s">
        <v>762</v>
      </c>
      <c r="D68" s="2">
        <v>1</v>
      </c>
      <c r="E68" s="2">
        <v>3</v>
      </c>
      <c r="F68" s="2">
        <v>10</v>
      </c>
      <c r="G68" s="2">
        <v>30</v>
      </c>
      <c r="H68" s="2">
        <v>100</v>
      </c>
      <c r="I68" s="2">
        <v>300</v>
      </c>
      <c r="J68" s="2">
        <v>1000</v>
      </c>
    </row>
    <row r="69" spans="3:10" x14ac:dyDescent="0.3">
      <c r="C69" s="2" t="s">
        <v>763</v>
      </c>
      <c r="D69" s="3">
        <v>0.5</v>
      </c>
      <c r="E69" s="4">
        <v>1.6</v>
      </c>
      <c r="F69" s="2">
        <v>5</v>
      </c>
      <c r="G69" s="2">
        <v>16</v>
      </c>
      <c r="H69" s="2">
        <v>50</v>
      </c>
      <c r="I69" s="2">
        <v>160</v>
      </c>
      <c r="J69" s="2">
        <v>500</v>
      </c>
    </row>
    <row r="70" spans="3:10" x14ac:dyDescent="0.3">
      <c r="C70" s="2" t="s">
        <v>764</v>
      </c>
      <c r="D70" s="3">
        <v>0.25</v>
      </c>
      <c r="E70" s="4">
        <v>0.8</v>
      </c>
      <c r="F70" s="2">
        <v>2.5</v>
      </c>
      <c r="G70" s="2">
        <v>8</v>
      </c>
      <c r="H70" s="2">
        <v>25</v>
      </c>
      <c r="I70" s="5">
        <v>80</v>
      </c>
      <c r="J70" s="5">
        <v>250</v>
      </c>
    </row>
    <row r="71" spans="3:10" x14ac:dyDescent="0.3">
      <c r="C71" s="2" t="s">
        <v>765</v>
      </c>
      <c r="D71" s="3">
        <v>0.1</v>
      </c>
      <c r="E71" s="4">
        <v>0.3</v>
      </c>
      <c r="F71" s="2">
        <v>1</v>
      </c>
      <c r="G71" s="2">
        <v>3</v>
      </c>
      <c r="H71" s="2">
        <v>10</v>
      </c>
      <c r="I71" s="5">
        <v>30</v>
      </c>
      <c r="J71" s="5">
        <v>100</v>
      </c>
    </row>
    <row r="72" spans="3:10" x14ac:dyDescent="0.3">
      <c r="C72" s="2" t="s">
        <v>766</v>
      </c>
      <c r="D72" s="3">
        <v>0.05</v>
      </c>
      <c r="E72" s="3">
        <v>0.16</v>
      </c>
      <c r="F72" s="3">
        <v>0.5</v>
      </c>
      <c r="G72" s="4">
        <v>1.6</v>
      </c>
      <c r="H72" s="2">
        <v>5</v>
      </c>
      <c r="I72" s="5">
        <v>16</v>
      </c>
      <c r="J72" s="5">
        <v>50</v>
      </c>
    </row>
    <row r="73" spans="3:10" x14ac:dyDescent="0.3">
      <c r="C73" s="2" t="s">
        <v>767</v>
      </c>
      <c r="D73" s="3">
        <v>0.03</v>
      </c>
      <c r="E73" s="3">
        <v>0.1</v>
      </c>
      <c r="F73" s="3">
        <v>0.3</v>
      </c>
      <c r="G73" s="4">
        <v>1</v>
      </c>
      <c r="H73" s="2">
        <v>3</v>
      </c>
      <c r="I73" s="5">
        <v>10</v>
      </c>
      <c r="J73" s="5">
        <v>30</v>
      </c>
    </row>
    <row r="74" spans="3:10" x14ac:dyDescent="0.3">
      <c r="C74" s="2" t="s">
        <v>768</v>
      </c>
      <c r="D74" s="1">
        <v>2.5000000000000001E-2</v>
      </c>
      <c r="E74" s="3">
        <v>0.08</v>
      </c>
      <c r="F74" s="3">
        <v>0.25</v>
      </c>
      <c r="G74" s="4">
        <v>0.8</v>
      </c>
      <c r="H74" s="2">
        <v>2.5</v>
      </c>
      <c r="I74" s="5">
        <v>8</v>
      </c>
      <c r="J74" s="5">
        <v>25</v>
      </c>
    </row>
    <row r="75" spans="3:10" x14ac:dyDescent="0.3">
      <c r="C75" s="2" t="s">
        <v>769</v>
      </c>
      <c r="D75" s="1">
        <v>0.02</v>
      </c>
      <c r="E75" s="3">
        <v>0.06</v>
      </c>
      <c r="F75" s="3">
        <v>0.2</v>
      </c>
      <c r="G75" s="4">
        <v>0.6</v>
      </c>
      <c r="H75" s="2">
        <v>2</v>
      </c>
      <c r="I75" s="5">
        <v>6</v>
      </c>
      <c r="J75" s="5">
        <v>20</v>
      </c>
    </row>
    <row r="76" spans="3:10" x14ac:dyDescent="0.3">
      <c r="C76" s="2" t="s">
        <v>770</v>
      </c>
      <c r="D76" s="1">
        <v>1.6E-2</v>
      </c>
      <c r="E76" s="3">
        <v>0.05</v>
      </c>
      <c r="F76" s="3">
        <v>0.16</v>
      </c>
      <c r="G76" s="4">
        <v>0.5</v>
      </c>
      <c r="H76" s="4">
        <v>1.6</v>
      </c>
      <c r="I76" s="5">
        <v>5</v>
      </c>
      <c r="J76" s="5">
        <v>16</v>
      </c>
    </row>
    <row r="77" spans="3:10" x14ac:dyDescent="0.3">
      <c r="C77" s="2" t="s">
        <v>771</v>
      </c>
      <c r="D77" s="1">
        <v>1.2E-2</v>
      </c>
      <c r="E77" s="3">
        <v>0.04</v>
      </c>
      <c r="F77" s="3">
        <v>0.12</v>
      </c>
      <c r="G77" s="4">
        <v>0.4</v>
      </c>
      <c r="H77" s="4">
        <v>1.2</v>
      </c>
      <c r="I77" s="5">
        <v>4</v>
      </c>
      <c r="J77" s="5">
        <v>12</v>
      </c>
    </row>
    <row r="78" spans="3:10" x14ac:dyDescent="0.3">
      <c r="C78" s="2" t="s">
        <v>772</v>
      </c>
      <c r="D78" s="1">
        <v>0.01</v>
      </c>
      <c r="E78" s="3">
        <v>0.03</v>
      </c>
      <c r="F78" s="3">
        <v>0.1</v>
      </c>
      <c r="G78" s="4">
        <v>0.3</v>
      </c>
      <c r="H78" s="4">
        <v>1</v>
      </c>
      <c r="I78" s="5">
        <v>3</v>
      </c>
      <c r="J78" s="5">
        <v>10</v>
      </c>
    </row>
    <row r="79" spans="3:10" x14ac:dyDescent="0.3">
      <c r="C79" s="4" t="s">
        <v>773</v>
      </c>
      <c r="D79" s="1">
        <v>8.0000000000000002E-3</v>
      </c>
      <c r="E79" s="1">
        <v>2.5000000000000001E-2</v>
      </c>
      <c r="F79" s="3">
        <v>0.08</v>
      </c>
      <c r="G79" s="3">
        <v>0.25</v>
      </c>
      <c r="H79" s="4">
        <v>0.8</v>
      </c>
      <c r="I79" s="6">
        <v>2.5</v>
      </c>
      <c r="J79" s="7"/>
    </row>
    <row r="80" spans="3:10" x14ac:dyDescent="0.3">
      <c r="C80" s="4" t="s">
        <v>774</v>
      </c>
      <c r="D80" s="1">
        <v>6.0000000000000001E-3</v>
      </c>
      <c r="E80" s="1">
        <v>0.02</v>
      </c>
      <c r="F80" s="3">
        <v>0.06</v>
      </c>
      <c r="G80" s="3">
        <v>0.2</v>
      </c>
      <c r="H80" s="4">
        <v>0.6</v>
      </c>
      <c r="I80" s="6">
        <v>2</v>
      </c>
      <c r="J80" s="7"/>
    </row>
    <row r="81" spans="3:10" x14ac:dyDescent="0.3">
      <c r="C81" s="4" t="s">
        <v>775</v>
      </c>
      <c r="D81" s="1">
        <v>5.0000000000000001E-3</v>
      </c>
      <c r="E81" s="1">
        <v>1.6E-2</v>
      </c>
      <c r="F81" s="3">
        <v>0.05</v>
      </c>
      <c r="G81" s="3">
        <v>0.16</v>
      </c>
      <c r="H81" s="4">
        <v>0.5</v>
      </c>
      <c r="I81" s="6">
        <v>1.6</v>
      </c>
      <c r="J81" s="7"/>
    </row>
    <row r="82" spans="3:10" x14ac:dyDescent="0.3">
      <c r="C82" s="3" t="s">
        <v>776</v>
      </c>
      <c r="D82" s="1">
        <v>4.0000000000000001E-3</v>
      </c>
      <c r="E82" s="1">
        <v>1.2E-2</v>
      </c>
      <c r="F82" s="3">
        <v>0.04</v>
      </c>
      <c r="G82" s="3">
        <v>0.12</v>
      </c>
      <c r="H82" s="4">
        <v>0.4</v>
      </c>
      <c r="I82" s="7"/>
      <c r="J82" s="7"/>
    </row>
    <row r="83" spans="3:10" x14ac:dyDescent="0.3">
      <c r="C83" s="3" t="s">
        <v>777</v>
      </c>
      <c r="D83" s="1">
        <v>3.0000000000000001E-3</v>
      </c>
      <c r="E83" s="1">
        <v>0.01</v>
      </c>
      <c r="F83" s="3">
        <v>0.03</v>
      </c>
      <c r="G83" s="3">
        <v>0.1</v>
      </c>
      <c r="H83" s="4">
        <v>0.3</v>
      </c>
      <c r="I83" s="7"/>
      <c r="J83" s="7"/>
    </row>
    <row r="84" spans="3:10" x14ac:dyDescent="0.3">
      <c r="C84" s="3" t="s">
        <v>778</v>
      </c>
      <c r="D84" s="1">
        <v>3.0000000000000001E-3</v>
      </c>
      <c r="E84" s="1">
        <v>8.0000000000000002E-3</v>
      </c>
      <c r="F84" s="1">
        <v>2.5000000000000001E-2</v>
      </c>
      <c r="G84" s="3">
        <v>0.08</v>
      </c>
      <c r="H84" s="3">
        <v>0.25</v>
      </c>
      <c r="I84" s="7"/>
      <c r="J84" s="7"/>
    </row>
    <row r="85" spans="3:10" x14ac:dyDescent="0.3">
      <c r="C85" s="1" t="s">
        <v>779</v>
      </c>
      <c r="D85" s="1">
        <v>3.0000000000000001E-3</v>
      </c>
      <c r="E85" s="1">
        <v>6.0000000000000001E-3</v>
      </c>
      <c r="F85" s="1">
        <v>0.02</v>
      </c>
      <c r="G85" s="3">
        <v>0.06</v>
      </c>
      <c r="H85" s="3">
        <v>0.2</v>
      </c>
      <c r="I85" s="7"/>
      <c r="J85" s="7"/>
    </row>
    <row r="86" spans="3:10" x14ac:dyDescent="0.3">
      <c r="C86" s="1" t="s">
        <v>780</v>
      </c>
      <c r="D86" s="1">
        <v>3.0000000000000001E-3</v>
      </c>
      <c r="E86" s="1">
        <v>6.0000000000000001E-3</v>
      </c>
      <c r="F86" s="1">
        <v>0.02</v>
      </c>
      <c r="G86" s="3">
        <v>0.06</v>
      </c>
      <c r="H86" s="3">
        <v>0.2</v>
      </c>
      <c r="I86" s="7"/>
      <c r="J86" s="7"/>
    </row>
    <row r="87" spans="3:10" x14ac:dyDescent="0.3">
      <c r="C87" s="1" t="s">
        <v>781</v>
      </c>
      <c r="D87" s="1">
        <v>3.0000000000000001E-3</v>
      </c>
      <c r="E87" s="1">
        <v>6.0000000000000001E-3</v>
      </c>
      <c r="F87" s="1">
        <v>0.02</v>
      </c>
      <c r="G87" s="3">
        <v>0.06</v>
      </c>
      <c r="H87" s="3">
        <v>0.2</v>
      </c>
      <c r="I87" s="7"/>
      <c r="J87" s="7"/>
    </row>
    <row r="93" spans="3:10" x14ac:dyDescent="0.3">
      <c r="C93" s="456">
        <f>IF(H8="g",E8,IF(H8="mg",G8/1000,IF(H8="kg",G8*1000)))</f>
        <v>20000</v>
      </c>
    </row>
    <row r="94" spans="3:10" x14ac:dyDescent="0.3">
      <c r="C94" s="456">
        <f t="shared" ref="C94:C112" si="11">IF(H9="g",E9,IF(H9="mg",G9/1000,IF(H9="kg",G9*1000)))</f>
        <v>0</v>
      </c>
    </row>
    <row r="95" spans="3:10" x14ac:dyDescent="0.3">
      <c r="C95" s="456">
        <f t="shared" si="11"/>
        <v>0</v>
      </c>
    </row>
    <row r="96" spans="3:10" x14ac:dyDescent="0.3">
      <c r="C96" s="456">
        <f t="shared" si="11"/>
        <v>0</v>
      </c>
    </row>
    <row r="97" spans="3:3" x14ac:dyDescent="0.3">
      <c r="C97" s="456">
        <f t="shared" si="11"/>
        <v>0</v>
      </c>
    </row>
    <row r="98" spans="3:3" x14ac:dyDescent="0.3">
      <c r="C98" s="456">
        <f t="shared" si="11"/>
        <v>0</v>
      </c>
    </row>
    <row r="99" spans="3:3" x14ac:dyDescent="0.3">
      <c r="C99" s="456">
        <f t="shared" si="11"/>
        <v>0</v>
      </c>
    </row>
    <row r="100" spans="3:3" x14ac:dyDescent="0.3">
      <c r="C100" s="456">
        <f t="shared" si="11"/>
        <v>0</v>
      </c>
    </row>
    <row r="101" spans="3:3" x14ac:dyDescent="0.3">
      <c r="C101" s="456">
        <f t="shared" si="11"/>
        <v>0</v>
      </c>
    </row>
    <row r="102" spans="3:3" x14ac:dyDescent="0.3">
      <c r="C102" s="456">
        <f t="shared" si="11"/>
        <v>0</v>
      </c>
    </row>
    <row r="103" spans="3:3" x14ac:dyDescent="0.3">
      <c r="C103" s="456">
        <f t="shared" si="11"/>
        <v>0</v>
      </c>
    </row>
    <row r="104" spans="3:3" x14ac:dyDescent="0.3">
      <c r="C104" s="456">
        <f t="shared" si="11"/>
        <v>0</v>
      </c>
    </row>
    <row r="105" spans="3:3" x14ac:dyDescent="0.3">
      <c r="C105" s="456">
        <f t="shared" si="11"/>
        <v>0</v>
      </c>
    </row>
    <row r="106" spans="3:3" x14ac:dyDescent="0.3">
      <c r="C106" s="456">
        <f t="shared" si="11"/>
        <v>0</v>
      </c>
    </row>
    <row r="107" spans="3:3" x14ac:dyDescent="0.3">
      <c r="C107" s="456">
        <f t="shared" si="11"/>
        <v>0</v>
      </c>
    </row>
    <row r="108" spans="3:3" x14ac:dyDescent="0.3">
      <c r="C108" s="456">
        <f t="shared" si="11"/>
        <v>0</v>
      </c>
    </row>
    <row r="109" spans="3:3" x14ac:dyDescent="0.3">
      <c r="C109" s="456">
        <f t="shared" si="11"/>
        <v>0</v>
      </c>
    </row>
    <row r="110" spans="3:3" x14ac:dyDescent="0.3">
      <c r="C110" s="456">
        <f t="shared" si="11"/>
        <v>0</v>
      </c>
    </row>
    <row r="111" spans="3:3" x14ac:dyDescent="0.3">
      <c r="C111" s="456">
        <f t="shared" si="11"/>
        <v>0</v>
      </c>
    </row>
    <row r="112" spans="3:3" x14ac:dyDescent="0.3">
      <c r="C112" s="456">
        <f t="shared" si="11"/>
        <v>0</v>
      </c>
    </row>
  </sheetData>
  <mergeCells count="45">
    <mergeCell ref="C5:N5"/>
    <mergeCell ref="C6:C7"/>
    <mergeCell ref="D6:D7"/>
    <mergeCell ref="E6:F7"/>
    <mergeCell ref="G6:K7"/>
    <mergeCell ref="N6:N7"/>
    <mergeCell ref="D62:J62"/>
    <mergeCell ref="O6:O7"/>
    <mergeCell ref="P6:P7"/>
    <mergeCell ref="Q6:Q7"/>
    <mergeCell ref="L6:M7"/>
    <mergeCell ref="C61:J61"/>
    <mergeCell ref="R11:S11"/>
    <mergeCell ref="R12:S12"/>
    <mergeCell ref="R13:S13"/>
    <mergeCell ref="R14:S14"/>
    <mergeCell ref="R15:S15"/>
    <mergeCell ref="R25:S25"/>
    <mergeCell ref="R16:S16"/>
    <mergeCell ref="R17:S17"/>
    <mergeCell ref="R18:S18"/>
    <mergeCell ref="R19:S19"/>
    <mergeCell ref="R20:S20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6:S7"/>
    <mergeCell ref="R8:S8"/>
    <mergeCell ref="R9:S9"/>
    <mergeCell ref="R10:S10"/>
    <mergeCell ref="R23:S23"/>
    <mergeCell ref="R24:S24"/>
    <mergeCell ref="R37:S37"/>
    <mergeCell ref="R31:S31"/>
    <mergeCell ref="R32:S32"/>
    <mergeCell ref="R33:S33"/>
    <mergeCell ref="R34:S34"/>
    <mergeCell ref="R35:S35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106"/>
  <sheetViews>
    <sheetView view="pageLayout" topLeftCell="A25" zoomScaleNormal="100" zoomScaleSheetLayoutView="100" workbookViewId="0">
      <selection activeCell="M46" sqref="M46"/>
    </sheetView>
  </sheetViews>
  <sheetFormatPr baseColWidth="10" defaultColWidth="11.44140625" defaultRowHeight="14.4" x14ac:dyDescent="0.3"/>
  <cols>
    <col min="1" max="1" width="5.21875" customWidth="1"/>
    <col min="2" max="2" width="3.109375" customWidth="1"/>
    <col min="3" max="3" width="0.109375" hidden="1" customWidth="1"/>
    <col min="4" max="4" width="6.77734375" customWidth="1"/>
    <col min="5" max="5" width="5.33203125" bestFit="1" customWidth="1"/>
    <col min="6" max="6" width="3.6640625" customWidth="1"/>
    <col min="7" max="7" width="7.21875" customWidth="1"/>
    <col min="8" max="9" width="3" customWidth="1"/>
    <col min="10" max="10" width="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.88671875" customWidth="1"/>
    <col min="19" max="19" width="4.109375" customWidth="1"/>
    <col min="20" max="20" width="4.88671875" customWidth="1"/>
    <col min="21" max="21" width="4.5546875" customWidth="1"/>
    <col min="22" max="22" width="4.33203125" customWidth="1"/>
    <col min="23" max="23" width="3.554687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1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1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1:23" ht="16.5" customHeight="1" x14ac:dyDescent="0.3"/>
    <row r="4" spans="1:23" ht="16.5" customHeight="1" x14ac:dyDescent="0.3"/>
    <row r="5" spans="1:23" ht="16.5" customHeight="1" x14ac:dyDescent="0.3"/>
    <row r="6" spans="1:23" ht="16.5" customHeight="1" x14ac:dyDescent="0.3"/>
    <row r="7" spans="1:23" ht="16.5" customHeight="1" x14ac:dyDescent="0.3"/>
    <row r="8" spans="1:23" ht="16.5" customHeight="1" x14ac:dyDescent="0.3"/>
    <row r="9" spans="1:23" x14ac:dyDescent="0.3">
      <c r="A9" s="472" t="s">
        <v>352</v>
      </c>
      <c r="B9" s="486"/>
      <c r="C9" s="487"/>
      <c r="E9" s="487"/>
      <c r="F9" s="487"/>
      <c r="G9" s="174"/>
      <c r="H9" s="174"/>
      <c r="I9" s="174"/>
      <c r="J9" s="174"/>
      <c r="K9" s="174"/>
      <c r="L9" s="215"/>
      <c r="M9" s="215"/>
      <c r="N9" s="662" t="str">
        <f>datos!D5</f>
        <v>NI-MC-M-2056-2024</v>
      </c>
      <c r="O9" s="662"/>
      <c r="P9" s="662"/>
      <c r="Q9" s="662"/>
      <c r="R9" s="662"/>
      <c r="S9" s="662"/>
      <c r="T9" s="662"/>
      <c r="U9" s="662"/>
      <c r="V9" s="662"/>
      <c r="W9" s="662"/>
    </row>
    <row r="10" spans="1:23" x14ac:dyDescent="0.3">
      <c r="A10" s="472" t="s">
        <v>789</v>
      </c>
      <c r="B10" s="486"/>
      <c r="C10" s="487"/>
      <c r="E10" s="487"/>
      <c r="F10" s="487"/>
      <c r="G10" s="174"/>
      <c r="H10" s="174"/>
      <c r="I10" s="174"/>
      <c r="J10" s="174"/>
      <c r="K10" s="174"/>
      <c r="L10" s="215"/>
      <c r="M10" s="215"/>
      <c r="N10" s="547" t="str">
        <f>datos!H8</f>
        <v>NI-CS-0600-22</v>
      </c>
      <c r="O10" s="494"/>
      <c r="P10" s="494"/>
      <c r="Q10" s="494"/>
      <c r="R10" s="494"/>
      <c r="S10" s="494"/>
      <c r="T10" s="494"/>
      <c r="U10" s="494"/>
      <c r="V10" s="494"/>
      <c r="W10" s="494"/>
    </row>
    <row r="11" spans="1:23" x14ac:dyDescent="0.3">
      <c r="A11" s="472" t="s">
        <v>353</v>
      </c>
      <c r="B11" s="486"/>
      <c r="C11" s="486"/>
      <c r="E11" s="486"/>
      <c r="F11" s="486"/>
      <c r="G11" s="174"/>
      <c r="H11" s="174"/>
      <c r="I11" s="174"/>
      <c r="J11" s="174"/>
      <c r="K11" s="174"/>
      <c r="L11" s="488"/>
      <c r="M11" s="215"/>
      <c r="N11" s="671" t="str">
        <f>datos!H7</f>
        <v>2024-02-23</v>
      </c>
      <c r="O11" s="671"/>
      <c r="P11" s="671"/>
      <c r="Q11" s="671"/>
      <c r="R11" s="671"/>
      <c r="S11" s="671"/>
      <c r="T11" s="671"/>
      <c r="U11" s="671"/>
      <c r="V11" s="671"/>
      <c r="W11" s="671"/>
    </row>
    <row r="12" spans="1:23" x14ac:dyDescent="0.3">
      <c r="A12" s="472" t="s">
        <v>746</v>
      </c>
      <c r="B12" s="486"/>
      <c r="C12" s="486"/>
      <c r="E12" s="486"/>
      <c r="F12" s="486"/>
      <c r="G12" s="174"/>
      <c r="H12" s="174"/>
      <c r="I12" s="174"/>
      <c r="J12" s="174"/>
      <c r="K12" s="174"/>
      <c r="L12" s="488"/>
      <c r="M12" s="215"/>
      <c r="N12" s="671">
        <f ca="1">NOW()</f>
        <v>45673.497084259259</v>
      </c>
      <c r="O12" s="671"/>
      <c r="P12" s="671"/>
      <c r="Q12" s="671"/>
      <c r="R12" s="510"/>
      <c r="S12" s="510"/>
      <c r="T12" s="510"/>
      <c r="U12" s="510"/>
      <c r="V12" s="510"/>
      <c r="W12" s="510"/>
    </row>
    <row r="13" spans="1:23" x14ac:dyDescent="0.3">
      <c r="A13" s="472" t="s">
        <v>354</v>
      </c>
      <c r="B13" s="486"/>
      <c r="C13" s="486"/>
      <c r="E13" s="486"/>
      <c r="F13" s="486"/>
      <c r="G13" s="174"/>
      <c r="H13" s="174"/>
      <c r="I13" s="174"/>
      <c r="J13" s="174"/>
      <c r="K13" s="174"/>
      <c r="L13" s="215"/>
      <c r="M13" s="215"/>
      <c r="N13" s="670" t="str">
        <f>datos!D7</f>
        <v>Masa Patrón</v>
      </c>
      <c r="O13" s="656"/>
      <c r="P13" s="656"/>
      <c r="Q13" s="656"/>
      <c r="R13" s="656"/>
      <c r="S13" s="656"/>
      <c r="T13" s="656"/>
      <c r="U13" s="656"/>
      <c r="V13" s="656"/>
      <c r="W13" s="656"/>
    </row>
    <row r="14" spans="1:23" x14ac:dyDescent="0.3">
      <c r="A14" s="472" t="s">
        <v>701</v>
      </c>
      <c r="B14" s="486"/>
      <c r="C14" s="486"/>
      <c r="E14" s="486"/>
      <c r="F14" s="486"/>
      <c r="G14" s="174"/>
      <c r="H14" s="174"/>
      <c r="I14" s="174"/>
      <c r="J14" s="174"/>
      <c r="K14" s="174"/>
      <c r="L14" s="215"/>
      <c r="M14" s="215"/>
      <c r="N14" s="670" t="str">
        <f>datos!D8</f>
        <v>Mettler Toledo</v>
      </c>
      <c r="O14" s="656"/>
      <c r="P14" s="656"/>
      <c r="Q14" s="656"/>
      <c r="R14" s="656"/>
      <c r="S14" s="656"/>
      <c r="T14" s="656"/>
      <c r="U14" s="656"/>
      <c r="V14" s="656"/>
      <c r="W14" s="656"/>
    </row>
    <row r="15" spans="1:23" x14ac:dyDescent="0.3">
      <c r="A15" s="472" t="s">
        <v>116</v>
      </c>
      <c r="B15" s="486"/>
      <c r="C15" s="486"/>
      <c r="E15" s="486"/>
      <c r="F15" s="486"/>
      <c r="G15" s="174"/>
      <c r="H15" s="174"/>
      <c r="I15" s="174"/>
      <c r="J15" s="174"/>
      <c r="K15" s="174"/>
      <c r="L15" s="215"/>
      <c r="M15" s="215"/>
      <c r="N15" s="656" t="str">
        <f>'Salida de datos'!D8</f>
        <v>(N/A)</v>
      </c>
      <c r="O15" s="656"/>
      <c r="P15" s="656"/>
      <c r="Q15" s="656"/>
      <c r="R15" s="656"/>
      <c r="S15" s="656"/>
      <c r="T15" s="656"/>
      <c r="U15" s="656"/>
      <c r="V15" s="656"/>
      <c r="W15" s="656"/>
    </row>
    <row r="16" spans="1:23" x14ac:dyDescent="0.3">
      <c r="A16" s="472" t="s">
        <v>702</v>
      </c>
      <c r="B16" s="486"/>
      <c r="C16" s="486"/>
      <c r="E16" s="486"/>
      <c r="F16" s="486"/>
      <c r="G16" s="174"/>
      <c r="H16" s="174"/>
      <c r="I16" s="174"/>
      <c r="J16" s="174"/>
      <c r="K16" s="174"/>
      <c r="L16" s="215"/>
      <c r="M16" s="215"/>
      <c r="N16" s="670" t="str">
        <f>datos!D9</f>
        <v>N/A</v>
      </c>
      <c r="O16" s="656"/>
      <c r="P16" s="656"/>
      <c r="Q16" s="656"/>
      <c r="R16" s="656"/>
      <c r="S16" s="656"/>
      <c r="T16" s="656"/>
      <c r="U16" s="656"/>
      <c r="V16" s="656"/>
      <c r="W16" s="656"/>
    </row>
    <row r="17" spans="1:23" x14ac:dyDescent="0.3">
      <c r="A17" s="472" t="s">
        <v>714</v>
      </c>
      <c r="B17" s="486"/>
      <c r="C17" s="486"/>
      <c r="E17" s="486"/>
      <c r="F17" s="486"/>
      <c r="G17" s="174"/>
      <c r="H17" s="174"/>
      <c r="I17" s="174"/>
      <c r="J17" s="174"/>
      <c r="K17" s="174"/>
      <c r="L17" s="215"/>
      <c r="M17" s="215"/>
      <c r="N17" s="680">
        <f>'Salida de datos'!G8</f>
        <v>20000</v>
      </c>
      <c r="O17" s="680"/>
      <c r="P17" s="680"/>
      <c r="Q17" s="564" t="str">
        <f>'Salida de datos'!H8</f>
        <v>g</v>
      </c>
      <c r="R17" s="215"/>
      <c r="S17" s="215"/>
      <c r="T17" s="215"/>
      <c r="U17" s="215"/>
      <c r="V17" s="215"/>
      <c r="W17" s="215"/>
    </row>
    <row r="18" spans="1:23" x14ac:dyDescent="0.3">
      <c r="A18" s="472" t="s">
        <v>703</v>
      </c>
      <c r="B18" s="486"/>
      <c r="C18" s="486"/>
      <c r="E18" s="486"/>
      <c r="F18" s="486"/>
      <c r="G18" s="174"/>
      <c r="H18" s="174"/>
      <c r="I18" s="174"/>
      <c r="J18" s="174"/>
      <c r="K18" s="174"/>
      <c r="L18" s="215"/>
      <c r="M18" s="215"/>
      <c r="N18" s="656" t="str">
        <f>'Salida de datos'!D8</f>
        <v>(N/A)</v>
      </c>
      <c r="O18" s="656"/>
      <c r="P18" s="656"/>
      <c r="Q18" s="656"/>
      <c r="R18" s="656"/>
      <c r="S18" s="656"/>
      <c r="T18" s="656"/>
      <c r="U18" s="656"/>
      <c r="V18" s="656"/>
      <c r="W18" s="656"/>
    </row>
    <row r="19" spans="1:23" x14ac:dyDescent="0.3">
      <c r="A19" s="472" t="s">
        <v>356</v>
      </c>
      <c r="B19" s="486"/>
      <c r="C19" s="486"/>
      <c r="E19" s="486"/>
      <c r="F19" s="486"/>
      <c r="G19" s="174"/>
      <c r="H19" s="174"/>
      <c r="I19" s="174"/>
      <c r="J19" s="174"/>
      <c r="K19" s="174"/>
      <c r="L19" s="215"/>
      <c r="M19" s="215"/>
      <c r="N19" s="656" t="str">
        <f>datos!D6</f>
        <v>Instituto Nicaraguense de Energía, INE</v>
      </c>
      <c r="O19" s="656"/>
      <c r="P19" s="656"/>
      <c r="Q19" s="656"/>
      <c r="R19" s="656"/>
      <c r="S19" s="656"/>
      <c r="T19" s="656"/>
      <c r="U19" s="656"/>
      <c r="V19" s="656"/>
      <c r="W19" s="656"/>
    </row>
    <row r="20" spans="1:23" x14ac:dyDescent="0.3">
      <c r="A20" s="489" t="s">
        <v>358</v>
      </c>
      <c r="C20" s="486"/>
      <c r="D20" s="486"/>
      <c r="E20" s="486"/>
      <c r="F20" s="486"/>
      <c r="G20" s="174"/>
      <c r="H20" s="174"/>
      <c r="I20" s="174"/>
      <c r="J20" s="174"/>
      <c r="K20" s="174"/>
      <c r="L20" s="471"/>
      <c r="M20" s="215"/>
      <c r="N20" s="679" t="str">
        <f>datos!H5</f>
        <v>Frente al portón Lugo Renta Car, Bolonia</v>
      </c>
      <c r="O20" s="679"/>
      <c r="P20" s="679"/>
      <c r="Q20" s="679"/>
      <c r="R20" s="679"/>
      <c r="S20" s="679"/>
      <c r="T20" s="679"/>
      <c r="U20" s="679"/>
      <c r="V20" s="679"/>
      <c r="W20" s="679"/>
    </row>
    <row r="21" spans="1:23" ht="14.4" customHeight="1" x14ac:dyDescent="0.3">
      <c r="A21" s="472" t="s">
        <v>704</v>
      </c>
      <c r="C21" s="486"/>
      <c r="D21" s="486"/>
      <c r="E21" s="486"/>
      <c r="F21" s="486"/>
      <c r="G21" s="174"/>
      <c r="H21" s="174"/>
      <c r="I21" s="174"/>
      <c r="J21" s="174"/>
      <c r="K21" s="174"/>
      <c r="L21" s="215"/>
      <c r="M21" s="215"/>
      <c r="N21" s="679" t="str">
        <f>datos!H6</f>
        <v>Laboratorio #2 Metrocal</v>
      </c>
      <c r="O21" s="679"/>
      <c r="P21" s="679"/>
      <c r="Q21" s="679"/>
      <c r="R21" s="679"/>
      <c r="S21" s="679"/>
      <c r="T21" s="679"/>
      <c r="U21" s="679"/>
      <c r="V21" s="679"/>
      <c r="W21" s="679"/>
    </row>
    <row r="22" spans="1:23" ht="14.4" customHeight="1" x14ac:dyDescent="0.3">
      <c r="A22" s="472"/>
      <c r="N22" s="471"/>
      <c r="O22" s="471"/>
      <c r="P22" s="471"/>
      <c r="Q22" s="471"/>
      <c r="R22" s="471"/>
      <c r="S22" s="471"/>
      <c r="T22" s="471"/>
      <c r="U22" s="471"/>
      <c r="V22" s="471"/>
      <c r="W22" s="471"/>
    </row>
    <row r="23" spans="1:23" x14ac:dyDescent="0.3">
      <c r="A23" s="472"/>
      <c r="N23" s="215"/>
      <c r="O23" s="215"/>
      <c r="P23" s="215"/>
      <c r="Q23" s="215"/>
      <c r="R23" s="215"/>
      <c r="S23" s="215"/>
      <c r="T23" s="215"/>
      <c r="U23" s="215"/>
      <c r="V23" s="215"/>
    </row>
    <row r="24" spans="1:23" x14ac:dyDescent="0.3">
      <c r="A24" s="472" t="s">
        <v>705</v>
      </c>
      <c r="C24" s="486"/>
      <c r="D24" s="486"/>
      <c r="E24" s="486"/>
      <c r="F24" s="486"/>
    </row>
    <row r="25" spans="1:23" x14ac:dyDescent="0.3">
      <c r="A25" s="472"/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672" t="s">
        <v>466</v>
      </c>
      <c r="E27" s="672" t="s">
        <v>469</v>
      </c>
      <c r="F27" s="672"/>
      <c r="G27" s="672" t="s">
        <v>467</v>
      </c>
      <c r="H27" s="672"/>
      <c r="I27" s="673" t="s">
        <v>468</v>
      </c>
      <c r="J27" s="674"/>
      <c r="K27" s="674"/>
      <c r="L27" s="674"/>
      <c r="M27" s="674"/>
      <c r="N27" s="674"/>
      <c r="O27" s="674"/>
      <c r="P27" s="674"/>
      <c r="Q27" s="674"/>
      <c r="R27" s="675"/>
      <c r="S27" s="672" t="s">
        <v>734</v>
      </c>
      <c r="T27" s="672"/>
      <c r="U27" s="672"/>
      <c r="V27" s="672"/>
    </row>
    <row r="28" spans="1:23" ht="14.25" customHeight="1" x14ac:dyDescent="0.3">
      <c r="A28" s="215"/>
      <c r="B28" s="498"/>
      <c r="C28" s="498"/>
      <c r="D28" s="672"/>
      <c r="E28" s="672"/>
      <c r="F28" s="672"/>
      <c r="G28" s="672"/>
      <c r="H28" s="672"/>
      <c r="I28" s="676"/>
      <c r="J28" s="677"/>
      <c r="K28" s="677"/>
      <c r="L28" s="677"/>
      <c r="M28" s="677"/>
      <c r="N28" s="677"/>
      <c r="O28" s="677"/>
      <c r="P28" s="677"/>
      <c r="Q28" s="677"/>
      <c r="R28" s="678"/>
      <c r="S28" s="672"/>
      <c r="T28" s="672"/>
      <c r="U28" s="672"/>
      <c r="V28" s="672"/>
    </row>
    <row r="29" spans="1:23" ht="16.2" customHeight="1" x14ac:dyDescent="0.3">
      <c r="A29" s="215"/>
      <c r="B29" s="498"/>
      <c r="C29" s="498"/>
      <c r="D29" s="499">
        <f>'Salida de datos'!C8</f>
        <v>1</v>
      </c>
      <c r="E29" s="667" t="str">
        <f>'Salida de datos'!D8</f>
        <v>(N/A)</v>
      </c>
      <c r="F29" s="667"/>
      <c r="G29" s="500">
        <f>'Salida de datos'!E8</f>
        <v>20000</v>
      </c>
      <c r="H29" s="500" t="str">
        <f>'Salida de datos'!F8</f>
        <v>g</v>
      </c>
      <c r="I29" s="668">
        <f>'Salida de datos'!G8</f>
        <v>20000</v>
      </c>
      <c r="J29" s="668"/>
      <c r="K29" s="668" t="str">
        <f>'Salida de datos'!H8</f>
        <v>g</v>
      </c>
      <c r="L29" s="666"/>
      <c r="M29" s="500" t="e">
        <f>'Salida de datos'!I8</f>
        <v>#DIV/0!</v>
      </c>
      <c r="N29" s="669" t="e">
        <f>'Salida de datos'!J8</f>
        <v>#DIV/0!</v>
      </c>
      <c r="O29" s="669"/>
      <c r="P29" s="669"/>
      <c r="Q29" s="669" t="str">
        <f>'Salida de datos'!K8</f>
        <v>mg</v>
      </c>
      <c r="R29" s="669"/>
      <c r="S29" s="669" t="e">
        <f>'Salida de datos'!L8</f>
        <v>#DIV/0!</v>
      </c>
      <c r="T29" s="669"/>
      <c r="U29" s="666" t="str">
        <f>'Salida de datos'!M8</f>
        <v>mg</v>
      </c>
      <c r="V29" s="666"/>
    </row>
    <row r="30" spans="1:23" ht="16.2" customHeight="1" x14ac:dyDescent="0.3">
      <c r="A30" s="215"/>
      <c r="B30" s="498"/>
      <c r="C30" s="498"/>
      <c r="D30" s="499">
        <f>'Salida de datos'!C9</f>
        <v>2</v>
      </c>
      <c r="E30" s="667">
        <f>'Salida de datos'!D9</f>
        <v>24</v>
      </c>
      <c r="F30" s="667"/>
      <c r="G30" s="500">
        <f>'Salida de datos'!E9</f>
        <v>0</v>
      </c>
      <c r="H30" s="500" t="str">
        <f>'Salida de datos'!F9</f>
        <v>g</v>
      </c>
      <c r="I30" s="668">
        <f>'Salida de datos'!G9</f>
        <v>0</v>
      </c>
      <c r="J30" s="668"/>
      <c r="K30" s="668" t="str">
        <f>'Salida de datos'!H9</f>
        <v>g</v>
      </c>
      <c r="L30" s="666"/>
      <c r="M30" s="500" t="e">
        <f>'Salida de datos'!I9</f>
        <v>#DIV/0!</v>
      </c>
      <c r="N30" s="669" t="e">
        <f>'Salida de datos'!J9</f>
        <v>#DIV/0!</v>
      </c>
      <c r="O30" s="669"/>
      <c r="P30" s="669"/>
      <c r="Q30" s="669" t="str">
        <f>'Salida de datos'!K9</f>
        <v>mg</v>
      </c>
      <c r="R30" s="669"/>
      <c r="S30" s="669" t="e">
        <f>'Salida de datos'!L9</f>
        <v>#DIV/0!</v>
      </c>
      <c r="T30" s="669"/>
      <c r="U30" s="666" t="str">
        <f>'Salida de datos'!M9</f>
        <v>mg</v>
      </c>
      <c r="V30" s="666"/>
    </row>
    <row r="31" spans="1:23" x14ac:dyDescent="0.3">
      <c r="A31" s="215"/>
      <c r="B31" s="498"/>
      <c r="C31" s="498"/>
      <c r="D31" s="499">
        <f>'Salida de datos'!C10</f>
        <v>3</v>
      </c>
      <c r="E31" s="667" t="str">
        <f>'Salida de datos'!D10</f>
        <v>No Aplica (N/A)</v>
      </c>
      <c r="F31" s="667"/>
      <c r="G31" s="500">
        <f>'Salida de datos'!E10</f>
        <v>0</v>
      </c>
      <c r="H31" s="500" t="str">
        <f>'Salida de datos'!F10</f>
        <v>g</v>
      </c>
      <c r="I31" s="668">
        <f>'Salida de datos'!G10</f>
        <v>0</v>
      </c>
      <c r="J31" s="668"/>
      <c r="K31" s="668" t="str">
        <f>'Salida de datos'!H10</f>
        <v>g</v>
      </c>
      <c r="L31" s="666"/>
      <c r="M31" s="500" t="e">
        <f>'Salida de datos'!I10</f>
        <v>#DIV/0!</v>
      </c>
      <c r="N31" s="669" t="e">
        <f>'Salida de datos'!J10</f>
        <v>#DIV/0!</v>
      </c>
      <c r="O31" s="669"/>
      <c r="P31" s="669"/>
      <c r="Q31" s="669" t="str">
        <f>'Salida de datos'!K10</f>
        <v>mg</v>
      </c>
      <c r="R31" s="669"/>
      <c r="S31" s="669" t="e">
        <f>'Salida de datos'!L10</f>
        <v>#DIV/0!</v>
      </c>
      <c r="T31" s="669"/>
      <c r="U31" s="666" t="str">
        <f>'Salida de datos'!M10</f>
        <v>mg</v>
      </c>
      <c r="V31" s="666"/>
    </row>
    <row r="32" spans="1:23" x14ac:dyDescent="0.3">
      <c r="A32" s="215"/>
      <c r="B32" s="498"/>
      <c r="C32" s="498"/>
      <c r="D32" s="499">
        <f>'Salida de datos'!C11</f>
        <v>4</v>
      </c>
      <c r="E32" s="667" t="str">
        <f>'Salida de datos'!D11</f>
        <v>No Aplica (N/A)</v>
      </c>
      <c r="F32" s="667"/>
      <c r="G32" s="500">
        <f>'Salida de datos'!E11</f>
        <v>0</v>
      </c>
      <c r="H32" s="500" t="str">
        <f>'Salida de datos'!F11</f>
        <v>g</v>
      </c>
      <c r="I32" s="668">
        <f>'Salida de datos'!G11</f>
        <v>0</v>
      </c>
      <c r="J32" s="668"/>
      <c r="K32" s="668" t="str">
        <f>'Salida de datos'!H11</f>
        <v>g</v>
      </c>
      <c r="L32" s="666"/>
      <c r="M32" s="500" t="e">
        <f>'Salida de datos'!I11</f>
        <v>#DIV/0!</v>
      </c>
      <c r="N32" s="669" t="e">
        <f>'Salida de datos'!J11</f>
        <v>#DIV/0!</v>
      </c>
      <c r="O32" s="669"/>
      <c r="P32" s="669"/>
      <c r="Q32" s="669" t="str">
        <f>'Salida de datos'!K11</f>
        <v>mg</v>
      </c>
      <c r="R32" s="669"/>
      <c r="S32" s="669" t="e">
        <f>'Salida de datos'!L11</f>
        <v>#DIV/0!</v>
      </c>
      <c r="T32" s="669"/>
      <c r="U32" s="666" t="str">
        <f>'Salida de datos'!M11</f>
        <v>mg</v>
      </c>
      <c r="V32" s="666"/>
    </row>
    <row r="33" spans="1:22" x14ac:dyDescent="0.3">
      <c r="A33" s="215"/>
      <c r="B33" s="498"/>
      <c r="C33" s="498"/>
      <c r="D33" s="499">
        <f>'Salida de datos'!C12</f>
        <v>5</v>
      </c>
      <c r="E33" s="667" t="str">
        <f>'Salida de datos'!D12</f>
        <v>No Aplica (N/A)</v>
      </c>
      <c r="F33" s="667"/>
      <c r="G33" s="500">
        <f>'Salida de datos'!E12</f>
        <v>0</v>
      </c>
      <c r="H33" s="500" t="str">
        <f>'Salida de datos'!F12</f>
        <v>g</v>
      </c>
      <c r="I33" s="668">
        <f>'Salida de datos'!G12</f>
        <v>0</v>
      </c>
      <c r="J33" s="668"/>
      <c r="K33" s="668" t="str">
        <f>'Salida de datos'!H12</f>
        <v>g</v>
      </c>
      <c r="L33" s="666"/>
      <c r="M33" s="500" t="e">
        <f>'Salida de datos'!I12</f>
        <v>#DIV/0!</v>
      </c>
      <c r="N33" s="669" t="e">
        <f>'Salida de datos'!J12</f>
        <v>#DIV/0!</v>
      </c>
      <c r="O33" s="669"/>
      <c r="P33" s="669"/>
      <c r="Q33" s="669" t="str">
        <f>'Salida de datos'!K12</f>
        <v>mg</v>
      </c>
      <c r="R33" s="669"/>
      <c r="S33" s="669" t="e">
        <f>'Salida de datos'!L12</f>
        <v>#DIV/0!</v>
      </c>
      <c r="T33" s="669"/>
      <c r="U33" s="666" t="str">
        <f>'Salida de datos'!M12</f>
        <v>mg</v>
      </c>
      <c r="V33" s="666"/>
    </row>
    <row r="34" spans="1:22" x14ac:dyDescent="0.3">
      <c r="A34" s="215"/>
      <c r="B34" s="498"/>
      <c r="C34" s="498"/>
      <c r="D34" s="499">
        <f>'Salida de datos'!C13</f>
        <v>6</v>
      </c>
      <c r="E34" s="667" t="str">
        <f>'Salida de datos'!D13</f>
        <v>No Aplica (N/A)</v>
      </c>
      <c r="F34" s="667"/>
      <c r="G34" s="500">
        <f>'Salida de datos'!E13</f>
        <v>0</v>
      </c>
      <c r="H34" s="500" t="str">
        <f>'Salida de datos'!F13</f>
        <v>g</v>
      </c>
      <c r="I34" s="668">
        <f>'Salida de datos'!G13</f>
        <v>0</v>
      </c>
      <c r="J34" s="668"/>
      <c r="K34" s="668" t="str">
        <f>'Salida de datos'!H13</f>
        <v>g</v>
      </c>
      <c r="L34" s="666"/>
      <c r="M34" s="500" t="e">
        <f>'Salida de datos'!I13</f>
        <v>#DIV/0!</v>
      </c>
      <c r="N34" s="669" t="e">
        <f>'Salida de datos'!J13</f>
        <v>#DIV/0!</v>
      </c>
      <c r="O34" s="669"/>
      <c r="P34" s="669"/>
      <c r="Q34" s="669" t="str">
        <f>'Salida de datos'!K13</f>
        <v>mg</v>
      </c>
      <c r="R34" s="669"/>
      <c r="S34" s="669" t="e">
        <f>'Salida de datos'!L13</f>
        <v>#DIV/0!</v>
      </c>
      <c r="T34" s="669"/>
      <c r="U34" s="666" t="str">
        <f>'Salida de datos'!M13</f>
        <v>mg</v>
      </c>
      <c r="V34" s="666"/>
    </row>
    <row r="35" spans="1:22" x14ac:dyDescent="0.3">
      <c r="A35" s="215"/>
      <c r="B35" s="498"/>
      <c r="C35" s="498"/>
      <c r="D35" s="499">
        <f>'Salida de datos'!C14</f>
        <v>7</v>
      </c>
      <c r="E35" s="667" t="str">
        <f>'Salida de datos'!D14</f>
        <v>No Aplica (N/A)</v>
      </c>
      <c r="F35" s="667"/>
      <c r="G35" s="500">
        <f>'Salida de datos'!E14</f>
        <v>0</v>
      </c>
      <c r="H35" s="500" t="str">
        <f>'Salida de datos'!F14</f>
        <v>g</v>
      </c>
      <c r="I35" s="668">
        <f>'Salida de datos'!G14</f>
        <v>0</v>
      </c>
      <c r="J35" s="668"/>
      <c r="K35" s="668" t="str">
        <f>'Salida de datos'!H14</f>
        <v>g</v>
      </c>
      <c r="L35" s="666"/>
      <c r="M35" s="500" t="e">
        <f>'Salida de datos'!I14</f>
        <v>#DIV/0!</v>
      </c>
      <c r="N35" s="669" t="e">
        <f>'Salida de datos'!J14</f>
        <v>#DIV/0!</v>
      </c>
      <c r="O35" s="669"/>
      <c r="P35" s="669"/>
      <c r="Q35" s="669" t="str">
        <f>'Salida de datos'!K14</f>
        <v>mg</v>
      </c>
      <c r="R35" s="669"/>
      <c r="S35" s="669" t="e">
        <f>'Salida de datos'!L14</f>
        <v>#DIV/0!</v>
      </c>
      <c r="T35" s="669"/>
      <c r="U35" s="666" t="str">
        <f>'Salida de datos'!M14</f>
        <v>mg</v>
      </c>
      <c r="V35" s="666"/>
    </row>
    <row r="36" spans="1:22" x14ac:dyDescent="0.3">
      <c r="A36" s="215"/>
      <c r="B36" s="498"/>
      <c r="C36" s="498"/>
      <c r="D36" s="499">
        <f>'Salida de datos'!C15</f>
        <v>8</v>
      </c>
      <c r="E36" s="667" t="str">
        <f>'Salida de datos'!D15</f>
        <v>No Aplica (N/A)</v>
      </c>
      <c r="F36" s="667"/>
      <c r="G36" s="500">
        <f>'Salida de datos'!E15</f>
        <v>0</v>
      </c>
      <c r="H36" s="500" t="str">
        <f>'Salida de datos'!F15</f>
        <v>g</v>
      </c>
      <c r="I36" s="668">
        <f>'Salida de datos'!G15</f>
        <v>0</v>
      </c>
      <c r="J36" s="668"/>
      <c r="K36" s="668" t="str">
        <f>'Salida de datos'!H15</f>
        <v>g</v>
      </c>
      <c r="L36" s="666"/>
      <c r="M36" s="500" t="e">
        <f>'Salida de datos'!I15</f>
        <v>#DIV/0!</v>
      </c>
      <c r="N36" s="669" t="e">
        <f>'Salida de datos'!J15</f>
        <v>#DIV/0!</v>
      </c>
      <c r="O36" s="669"/>
      <c r="P36" s="669"/>
      <c r="Q36" s="669" t="str">
        <f>'Salida de datos'!K15</f>
        <v>mg</v>
      </c>
      <c r="R36" s="669"/>
      <c r="S36" s="669" t="e">
        <f>'Salida de datos'!L15</f>
        <v>#DIV/0!</v>
      </c>
      <c r="T36" s="669"/>
      <c r="U36" s="666" t="str">
        <f>'Salida de datos'!M15</f>
        <v>mg</v>
      </c>
      <c r="V36" s="666"/>
    </row>
    <row r="37" spans="1:22" x14ac:dyDescent="0.3">
      <c r="A37" s="215"/>
      <c r="B37" s="498"/>
      <c r="C37" s="498"/>
      <c r="D37" s="499">
        <f>'Salida de datos'!C16</f>
        <v>9</v>
      </c>
      <c r="E37" s="667" t="str">
        <f>'Salida de datos'!D16</f>
        <v>No Aplica (N/A)</v>
      </c>
      <c r="F37" s="667"/>
      <c r="G37" s="500">
        <f>'Salida de datos'!E16</f>
        <v>0</v>
      </c>
      <c r="H37" s="500" t="str">
        <f>'Salida de datos'!F16</f>
        <v>g</v>
      </c>
      <c r="I37" s="668">
        <f>'Salida de datos'!G16</f>
        <v>0</v>
      </c>
      <c r="J37" s="668"/>
      <c r="K37" s="668" t="str">
        <f>'Salida de datos'!H16</f>
        <v>g</v>
      </c>
      <c r="L37" s="666"/>
      <c r="M37" s="500" t="e">
        <f>'Salida de datos'!I16</f>
        <v>#DIV/0!</v>
      </c>
      <c r="N37" s="669" t="e">
        <f>'Salida de datos'!J16</f>
        <v>#DIV/0!</v>
      </c>
      <c r="O37" s="669"/>
      <c r="P37" s="669"/>
      <c r="Q37" s="669" t="str">
        <f>'Salida de datos'!K16</f>
        <v>mg</v>
      </c>
      <c r="R37" s="669"/>
      <c r="S37" s="669" t="e">
        <f>'Salida de datos'!L16</f>
        <v>#DIV/0!</v>
      </c>
      <c r="T37" s="669"/>
      <c r="U37" s="666" t="str">
        <f>'Salida de datos'!M16</f>
        <v>mg</v>
      </c>
      <c r="V37" s="666"/>
    </row>
    <row r="38" spans="1:22" x14ac:dyDescent="0.3">
      <c r="A38" s="215"/>
      <c r="B38" s="498"/>
      <c r="C38" s="498"/>
      <c r="D38" s="499">
        <f>'Salida de datos'!C17</f>
        <v>10</v>
      </c>
      <c r="E38" s="667" t="str">
        <f>'Salida de datos'!D17</f>
        <v>No Aplica (N/A)</v>
      </c>
      <c r="F38" s="667"/>
      <c r="G38" s="500">
        <f>'Salida de datos'!E17</f>
        <v>0</v>
      </c>
      <c r="H38" s="500" t="str">
        <f>'Salida de datos'!F17</f>
        <v>kg</v>
      </c>
      <c r="I38" s="668">
        <f>'Salida de datos'!G17</f>
        <v>0</v>
      </c>
      <c r="J38" s="668"/>
      <c r="K38" s="668" t="str">
        <f>'Salida de datos'!H17</f>
        <v>kg</v>
      </c>
      <c r="L38" s="666"/>
      <c r="M38" s="500" t="e">
        <f>'Salida de datos'!I17</f>
        <v>#DIV/0!</v>
      </c>
      <c r="N38" s="669" t="e">
        <f>'Salida de datos'!J17</f>
        <v>#DIV/0!</v>
      </c>
      <c r="O38" s="669"/>
      <c r="P38" s="669"/>
      <c r="Q38" s="669" t="str">
        <f>'Salida de datos'!K17</f>
        <v>mg</v>
      </c>
      <c r="R38" s="669"/>
      <c r="S38" s="669" t="e">
        <f>'Salida de datos'!L17</f>
        <v>#DIV/0!</v>
      </c>
      <c r="T38" s="669"/>
      <c r="U38" s="666" t="str">
        <f>'Salida de datos'!M17</f>
        <v>mg</v>
      </c>
      <c r="V38" s="666"/>
    </row>
    <row r="39" spans="1:22" x14ac:dyDescent="0.3">
      <c r="A39" s="215"/>
      <c r="B39" s="498"/>
      <c r="C39" s="498"/>
      <c r="D39" s="499">
        <f>'Salida de datos'!C18</f>
        <v>11</v>
      </c>
      <c r="E39" s="667" t="str">
        <f>'Salida de datos'!D18</f>
        <v>No Aplica (N/A)</v>
      </c>
      <c r="F39" s="667"/>
      <c r="G39" s="500">
        <f>'Salida de datos'!E18</f>
        <v>0</v>
      </c>
      <c r="H39" s="500" t="str">
        <f>'Salida de datos'!F18</f>
        <v>kg</v>
      </c>
      <c r="I39" s="668">
        <f>'Salida de datos'!G18</f>
        <v>0</v>
      </c>
      <c r="J39" s="668"/>
      <c r="K39" s="668" t="str">
        <f>'Salida de datos'!H18</f>
        <v>kg</v>
      </c>
      <c r="L39" s="666"/>
      <c r="M39" s="500" t="e">
        <f>'Salida de datos'!I18</f>
        <v>#DIV/0!</v>
      </c>
      <c r="N39" s="669" t="e">
        <f>'Salida de datos'!J18</f>
        <v>#DIV/0!</v>
      </c>
      <c r="O39" s="669"/>
      <c r="P39" s="669"/>
      <c r="Q39" s="669" t="str">
        <f>'Salida de datos'!K18</f>
        <v>mg</v>
      </c>
      <c r="R39" s="669"/>
      <c r="S39" s="669" t="e">
        <f>'Salida de datos'!L18</f>
        <v>#DIV/0!</v>
      </c>
      <c r="T39" s="669"/>
      <c r="U39" s="666" t="str">
        <f>'Salida de datos'!M18</f>
        <v>mg</v>
      </c>
      <c r="V39" s="666"/>
    </row>
    <row r="40" spans="1:22" x14ac:dyDescent="0.3">
      <c r="A40" s="215"/>
      <c r="B40" s="498"/>
      <c r="C40" s="498"/>
      <c r="D40" s="499">
        <f>'Salida de datos'!C19</f>
        <v>12</v>
      </c>
      <c r="E40" s="667" t="str">
        <f>'Salida de datos'!D19</f>
        <v>No Aplica (N/A)</v>
      </c>
      <c r="F40" s="667"/>
      <c r="G40" s="500">
        <f>'Salida de datos'!E19</f>
        <v>0</v>
      </c>
      <c r="H40" s="500" t="str">
        <f>'Salida de datos'!F19</f>
        <v>kg</v>
      </c>
      <c r="I40" s="668">
        <f>'Salida de datos'!G19</f>
        <v>0</v>
      </c>
      <c r="J40" s="668"/>
      <c r="K40" s="668" t="str">
        <f>'Salida de datos'!H19</f>
        <v>kg</v>
      </c>
      <c r="L40" s="666"/>
      <c r="M40" s="500" t="e">
        <f>'Salida de datos'!I19</f>
        <v>#DIV/0!</v>
      </c>
      <c r="N40" s="669" t="e">
        <f>'Salida de datos'!J19</f>
        <v>#DIV/0!</v>
      </c>
      <c r="O40" s="669"/>
      <c r="P40" s="669"/>
      <c r="Q40" s="669" t="str">
        <f>'Salida de datos'!K19</f>
        <v>mg</v>
      </c>
      <c r="R40" s="669"/>
      <c r="S40" s="669" t="e">
        <f>'Salida de datos'!L19</f>
        <v>#DIV/0!</v>
      </c>
      <c r="T40" s="669"/>
      <c r="U40" s="666" t="str">
        <f>'Salida de datos'!M19</f>
        <v>mg</v>
      </c>
      <c r="V40" s="666"/>
    </row>
    <row r="41" spans="1:22" x14ac:dyDescent="0.3">
      <c r="A41" s="215"/>
      <c r="B41" s="498"/>
      <c r="C41" s="498"/>
      <c r="D41" s="499">
        <f>'Salida de datos'!C20</f>
        <v>13</v>
      </c>
      <c r="E41" s="667" t="str">
        <f>'Salida de datos'!D20</f>
        <v>No Aplica (N/A)</v>
      </c>
      <c r="F41" s="667"/>
      <c r="G41" s="500">
        <f>'Salida de datos'!E20</f>
        <v>0</v>
      </c>
      <c r="H41" s="500" t="str">
        <f>'Salida de datos'!F20</f>
        <v>g</v>
      </c>
      <c r="I41" s="668">
        <f>'Salida de datos'!G20</f>
        <v>0</v>
      </c>
      <c r="J41" s="668"/>
      <c r="K41" s="668" t="str">
        <f>'Salida de datos'!H20</f>
        <v>g</v>
      </c>
      <c r="L41" s="666"/>
      <c r="M41" s="500" t="e">
        <f>'Salida de datos'!I20</f>
        <v>#DIV/0!</v>
      </c>
      <c r="N41" s="669" t="e">
        <f>'Salida de datos'!J20</f>
        <v>#DIV/0!</v>
      </c>
      <c r="O41" s="669"/>
      <c r="P41" s="669"/>
      <c r="Q41" s="669" t="str">
        <f>'Salida de datos'!K20</f>
        <v>mg</v>
      </c>
      <c r="R41" s="669"/>
      <c r="S41" s="669" t="e">
        <f>'Salida de datos'!L20</f>
        <v>#DIV/0!</v>
      </c>
      <c r="T41" s="669"/>
      <c r="U41" s="666" t="str">
        <f>'Salida de datos'!M20</f>
        <v>mg</v>
      </c>
      <c r="V41" s="666"/>
    </row>
    <row r="42" spans="1:22" x14ac:dyDescent="0.3">
      <c r="A42" s="215"/>
      <c r="B42" s="498"/>
      <c r="C42" s="498"/>
      <c r="D42" s="499">
        <f>'Salida de datos'!C21</f>
        <v>14</v>
      </c>
      <c r="E42" s="667" t="str">
        <f>'Salida de datos'!D21</f>
        <v>No Aplica (N/A)</v>
      </c>
      <c r="F42" s="667"/>
      <c r="G42" s="500">
        <f>'Salida de datos'!E21</f>
        <v>0</v>
      </c>
      <c r="H42" s="500" t="str">
        <f>'Salida de datos'!F21</f>
        <v>kg</v>
      </c>
      <c r="I42" s="668">
        <f>'Salida de datos'!G21</f>
        <v>0</v>
      </c>
      <c r="J42" s="668"/>
      <c r="K42" s="668" t="str">
        <f>'Salida de datos'!H21</f>
        <v>kg</v>
      </c>
      <c r="L42" s="666"/>
      <c r="M42" s="500" t="e">
        <f>'Salida de datos'!I21</f>
        <v>#DIV/0!</v>
      </c>
      <c r="N42" s="669" t="e">
        <f>'Salida de datos'!J21</f>
        <v>#DIV/0!</v>
      </c>
      <c r="O42" s="669"/>
      <c r="P42" s="669"/>
      <c r="Q42" s="669" t="str">
        <f>'Salida de datos'!K21</f>
        <v>mg</v>
      </c>
      <c r="R42" s="669"/>
      <c r="S42" s="669" t="e">
        <f>'Salida de datos'!L21</f>
        <v>#DIV/0!</v>
      </c>
      <c r="T42" s="669"/>
      <c r="U42" s="666" t="str">
        <f>'Salida de datos'!M21</f>
        <v>mg</v>
      </c>
      <c r="V42" s="666"/>
    </row>
    <row r="43" spans="1:22" x14ac:dyDescent="0.3">
      <c r="A43" s="215"/>
      <c r="B43" s="498"/>
      <c r="C43" s="498"/>
      <c r="D43" s="499">
        <f>'Salida de datos'!C22</f>
        <v>15</v>
      </c>
      <c r="E43" s="667" t="str">
        <f>'Salida de datos'!D22</f>
        <v>No Aplica (N/A)</v>
      </c>
      <c r="F43" s="667"/>
      <c r="G43" s="500">
        <f>'Salida de datos'!E22</f>
        <v>0</v>
      </c>
      <c r="H43" s="500" t="str">
        <f>'Salida de datos'!F22</f>
        <v>kg</v>
      </c>
      <c r="I43" s="668">
        <f>'Salida de datos'!G22</f>
        <v>0</v>
      </c>
      <c r="J43" s="668"/>
      <c r="K43" s="668" t="str">
        <f>'Salida de datos'!H22</f>
        <v>kg</v>
      </c>
      <c r="L43" s="666"/>
      <c r="M43" s="500" t="e">
        <f>'Salida de datos'!I22</f>
        <v>#DIV/0!</v>
      </c>
      <c r="N43" s="669" t="e">
        <f>'Salida de datos'!J22</f>
        <v>#DIV/0!</v>
      </c>
      <c r="O43" s="669"/>
      <c r="P43" s="669"/>
      <c r="Q43" s="669" t="str">
        <f>'Salida de datos'!K22</f>
        <v>mg</v>
      </c>
      <c r="R43" s="669"/>
      <c r="S43" s="669" t="e">
        <f>'Salida de datos'!L22</f>
        <v>#DIV/0!</v>
      </c>
      <c r="T43" s="669"/>
      <c r="U43" s="666" t="str">
        <f>'Salida de datos'!M22</f>
        <v>mg</v>
      </c>
      <c r="V43" s="666"/>
    </row>
    <row r="44" spans="1:22" x14ac:dyDescent="0.3">
      <c r="A44" s="215"/>
      <c r="B44" s="498"/>
      <c r="C44" s="498"/>
      <c r="D44" s="499">
        <f>'Salida de datos'!C23</f>
        <v>16</v>
      </c>
      <c r="E44" s="667" t="str">
        <f>'Salida de datos'!D23</f>
        <v>No Aplica (N/A)</v>
      </c>
      <c r="F44" s="667"/>
      <c r="G44" s="500">
        <f>'Salida de datos'!E23</f>
        <v>0</v>
      </c>
      <c r="H44" s="500" t="str">
        <f>'Salida de datos'!F23</f>
        <v>kg</v>
      </c>
      <c r="I44" s="668">
        <f>'Salida de datos'!G23</f>
        <v>0</v>
      </c>
      <c r="J44" s="668"/>
      <c r="K44" s="668" t="str">
        <f>'Salida de datos'!H23</f>
        <v>kg</v>
      </c>
      <c r="L44" s="666"/>
      <c r="M44" s="500" t="e">
        <f>'Salida de datos'!I23</f>
        <v>#DIV/0!</v>
      </c>
      <c r="N44" s="669" t="e">
        <f>'Salida de datos'!J23</f>
        <v>#DIV/0!</v>
      </c>
      <c r="O44" s="669"/>
      <c r="P44" s="669"/>
      <c r="Q44" s="669" t="str">
        <f>'Salida de datos'!K23</f>
        <v>mg</v>
      </c>
      <c r="R44" s="669"/>
      <c r="S44" s="669" t="e">
        <f>'Salida de datos'!L23</f>
        <v>#DIV/0!</v>
      </c>
      <c r="T44" s="669"/>
      <c r="U44" s="666" t="str">
        <f>'Salida de datos'!M23</f>
        <v>mg</v>
      </c>
      <c r="V44" s="666"/>
    </row>
    <row r="45" spans="1:22" x14ac:dyDescent="0.3">
      <c r="A45" s="215"/>
      <c r="B45" s="498"/>
      <c r="C45" s="498"/>
      <c r="D45" s="499">
        <f>'Salida de datos'!C24</f>
        <v>17</v>
      </c>
      <c r="E45" s="667" t="str">
        <f>'Salida de datos'!D24</f>
        <v>No Aplica (N/A)</v>
      </c>
      <c r="F45" s="667"/>
      <c r="G45" s="500">
        <f>'Salida de datos'!E24</f>
        <v>0</v>
      </c>
      <c r="H45" s="500" t="str">
        <f>'Salida de datos'!F24</f>
        <v>g</v>
      </c>
      <c r="I45" s="668">
        <f>'Salida de datos'!G24</f>
        <v>0</v>
      </c>
      <c r="J45" s="668"/>
      <c r="K45" s="668" t="str">
        <f>'Salida de datos'!H24</f>
        <v>g</v>
      </c>
      <c r="L45" s="666"/>
      <c r="M45" s="500" t="e">
        <f>'Salida de datos'!I24</f>
        <v>#DIV/0!</v>
      </c>
      <c r="N45" s="669" t="e">
        <f>'Salida de datos'!J24</f>
        <v>#DIV/0!</v>
      </c>
      <c r="O45" s="669"/>
      <c r="P45" s="669"/>
      <c r="Q45" s="669" t="str">
        <f>'Salida de datos'!K24</f>
        <v>mg</v>
      </c>
      <c r="R45" s="669"/>
      <c r="S45" s="669" t="e">
        <f>'Salida de datos'!L24</f>
        <v>#DIV/0!</v>
      </c>
      <c r="T45" s="669"/>
      <c r="U45" s="666" t="str">
        <f>'Salida de datos'!M24</f>
        <v>mg</v>
      </c>
      <c r="V45" s="666"/>
    </row>
    <row r="46" spans="1:22" x14ac:dyDescent="0.3">
      <c r="A46" s="215"/>
      <c r="B46" s="498"/>
      <c r="C46" s="498"/>
      <c r="D46" s="499">
        <f>'Salida de datos'!C25</f>
        <v>18</v>
      </c>
      <c r="E46" s="667" t="str">
        <f>'Salida de datos'!D25</f>
        <v>No Aplica (N/A)</v>
      </c>
      <c r="F46" s="667"/>
      <c r="G46" s="500">
        <f>'Salida de datos'!E25</f>
        <v>0</v>
      </c>
      <c r="H46" s="500" t="str">
        <f>'Salida de datos'!F25</f>
        <v>g</v>
      </c>
      <c r="I46" s="668">
        <f>'Salida de datos'!G25</f>
        <v>0</v>
      </c>
      <c r="J46" s="668"/>
      <c r="K46" s="668" t="str">
        <f>'Salida de datos'!H25</f>
        <v>g</v>
      </c>
      <c r="L46" s="666"/>
      <c r="M46" s="500" t="e">
        <f>'Salida de datos'!I25</f>
        <v>#DIV/0!</v>
      </c>
      <c r="N46" s="669" t="e">
        <f>'Salida de datos'!J25</f>
        <v>#DIV/0!</v>
      </c>
      <c r="O46" s="669"/>
      <c r="P46" s="669"/>
      <c r="Q46" s="669" t="str">
        <f>'Salida de datos'!K25</f>
        <v>mg</v>
      </c>
      <c r="R46" s="669"/>
      <c r="S46" s="669" t="e">
        <f>'Salida de datos'!L25</f>
        <v>#DIV/0!</v>
      </c>
      <c r="T46" s="669"/>
      <c r="U46" s="666" t="str">
        <f>'Salida de datos'!M25</f>
        <v>mg</v>
      </c>
      <c r="V46" s="666"/>
    </row>
    <row r="47" spans="1:22" x14ac:dyDescent="0.3">
      <c r="A47" s="215"/>
      <c r="B47" s="498"/>
      <c r="C47" s="498"/>
      <c r="D47" s="499">
        <f>'Salida de datos'!C26</f>
        <v>19</v>
      </c>
      <c r="E47" s="667" t="str">
        <f>'Salida de datos'!D26</f>
        <v>No Aplica (N/A)</v>
      </c>
      <c r="F47" s="667"/>
      <c r="G47" s="500">
        <f>'Salida de datos'!E26</f>
        <v>0</v>
      </c>
      <c r="H47" s="500" t="str">
        <f>'Salida de datos'!F26</f>
        <v>kg</v>
      </c>
      <c r="I47" s="668">
        <f>'Salida de datos'!G26</f>
        <v>0</v>
      </c>
      <c r="J47" s="668"/>
      <c r="K47" s="668" t="str">
        <f>'Salida de datos'!H26</f>
        <v>kg</v>
      </c>
      <c r="L47" s="666"/>
      <c r="M47" s="500" t="e">
        <f>'Salida de datos'!I26</f>
        <v>#DIV/0!</v>
      </c>
      <c r="N47" s="669" t="e">
        <f>'Salida de datos'!J26</f>
        <v>#DIV/0!</v>
      </c>
      <c r="O47" s="669"/>
      <c r="P47" s="669"/>
      <c r="Q47" s="669" t="str">
        <f>'Salida de datos'!K26</f>
        <v>mg</v>
      </c>
      <c r="R47" s="669"/>
      <c r="S47" s="669" t="e">
        <f>'Salida de datos'!L26</f>
        <v>#DIV/0!</v>
      </c>
      <c r="T47" s="669"/>
      <c r="U47" s="666" t="str">
        <f>'Salida de datos'!M26</f>
        <v>mg</v>
      </c>
      <c r="V47" s="666"/>
    </row>
    <row r="48" spans="1:22" x14ac:dyDescent="0.3">
      <c r="A48" s="215"/>
      <c r="B48" s="498"/>
      <c r="C48" s="498"/>
      <c r="D48" s="499">
        <f>'Salida de datos'!C27</f>
        <v>20</v>
      </c>
      <c r="E48" s="667" t="str">
        <f>'Salida de datos'!D27</f>
        <v>No Aplica (N/A)</v>
      </c>
      <c r="F48" s="667"/>
      <c r="G48" s="500">
        <f>'Salida de datos'!E27</f>
        <v>0</v>
      </c>
      <c r="H48" s="500" t="str">
        <f>'Salida de datos'!F27</f>
        <v>kg</v>
      </c>
      <c r="I48" s="668">
        <f>'Salida de datos'!G27</f>
        <v>0</v>
      </c>
      <c r="J48" s="668"/>
      <c r="K48" s="668" t="str">
        <f>'Salida de datos'!H27</f>
        <v>kg</v>
      </c>
      <c r="L48" s="666"/>
      <c r="M48" s="500" t="e">
        <f>'Salida de datos'!I27</f>
        <v>#DIV/0!</v>
      </c>
      <c r="N48" s="669" t="e">
        <f>'Salida de datos'!J27</f>
        <v>#DIV/0!</v>
      </c>
      <c r="O48" s="669"/>
      <c r="P48" s="669"/>
      <c r="Q48" s="669" t="str">
        <f>'Salida de datos'!K27</f>
        <v>mg</v>
      </c>
      <c r="R48" s="669"/>
      <c r="S48" s="669" t="e">
        <f>'Salida de datos'!L27</f>
        <v>#DIV/0!</v>
      </c>
      <c r="T48" s="669"/>
      <c r="U48" s="666" t="str">
        <f>'Salida de datos'!M27</f>
        <v>mg</v>
      </c>
      <c r="V48" s="666"/>
    </row>
    <row r="49" spans="1:23" x14ac:dyDescent="0.3">
      <c r="A49" s="215"/>
      <c r="B49" s="498"/>
      <c r="C49" s="498"/>
      <c r="D49" s="604"/>
      <c r="E49" s="681"/>
      <c r="F49" s="682"/>
      <c r="G49" s="605"/>
      <c r="H49" s="605"/>
      <c r="I49" s="606"/>
      <c r="J49" s="606"/>
      <c r="K49" s="606"/>
      <c r="L49" s="607"/>
      <c r="M49" s="605"/>
      <c r="N49" s="608"/>
      <c r="O49" s="608"/>
      <c r="P49" s="608"/>
      <c r="Q49" s="609"/>
      <c r="R49" s="609"/>
      <c r="S49" s="609"/>
      <c r="T49" s="609"/>
      <c r="U49" s="607"/>
      <c r="V49" s="607"/>
    </row>
    <row r="50" spans="1:23" x14ac:dyDescent="0.3">
      <c r="A50" s="215"/>
      <c r="B50" s="498"/>
      <c r="C50" s="498"/>
      <c r="D50" s="604"/>
      <c r="E50" s="604"/>
      <c r="F50" s="604"/>
      <c r="G50" s="605"/>
      <c r="H50" s="605"/>
      <c r="I50" s="606"/>
      <c r="J50" s="606"/>
      <c r="K50" s="606"/>
      <c r="L50" s="607"/>
      <c r="M50" s="605"/>
      <c r="N50" s="608"/>
      <c r="O50" s="608"/>
      <c r="P50" s="608"/>
      <c r="Q50" s="609"/>
      <c r="R50" s="609"/>
      <c r="S50" s="609"/>
      <c r="T50" s="609"/>
      <c r="U50" s="607"/>
      <c r="V50" s="607"/>
    </row>
    <row r="51" spans="1:23" x14ac:dyDescent="0.3">
      <c r="A51" s="215"/>
      <c r="B51" s="498"/>
      <c r="C51" s="498"/>
      <c r="D51" s="604"/>
      <c r="E51" s="604"/>
      <c r="F51" s="604"/>
      <c r="G51" s="605"/>
      <c r="H51" s="605"/>
      <c r="I51" s="606"/>
      <c r="J51" s="606"/>
      <c r="K51" s="606"/>
      <c r="L51" s="607"/>
      <c r="M51" s="605"/>
      <c r="N51" s="608"/>
      <c r="O51" s="608"/>
      <c r="P51" s="608"/>
      <c r="Q51" s="609"/>
      <c r="R51" s="609"/>
      <c r="S51" s="609"/>
      <c r="T51" s="609"/>
      <c r="U51" s="607"/>
      <c r="V51" s="607"/>
    </row>
    <row r="52" spans="1:23" x14ac:dyDescent="0.3">
      <c r="A52" s="215"/>
      <c r="B52" s="498"/>
      <c r="C52" s="498"/>
      <c r="D52" s="604"/>
      <c r="E52" s="604"/>
      <c r="F52" s="604"/>
      <c r="G52" s="605"/>
      <c r="H52" s="605"/>
      <c r="I52" s="606"/>
      <c r="J52" s="606"/>
      <c r="K52" s="606"/>
      <c r="L52" s="607"/>
      <c r="M52" s="605"/>
      <c r="N52" s="608"/>
      <c r="O52" s="608"/>
      <c r="P52" s="608"/>
      <c r="Q52" s="609"/>
      <c r="R52" s="609"/>
      <c r="S52" s="609"/>
      <c r="T52" s="609"/>
      <c r="U52" s="607"/>
      <c r="V52" s="607"/>
    </row>
    <row r="53" spans="1:23" x14ac:dyDescent="0.3">
      <c r="A53" s="215"/>
      <c r="B53" s="498"/>
      <c r="C53" s="498"/>
      <c r="D53" s="604"/>
      <c r="E53" s="604"/>
      <c r="F53" s="604"/>
      <c r="G53" s="605"/>
      <c r="H53" s="605"/>
      <c r="I53" s="606"/>
      <c r="J53" s="606"/>
      <c r="K53" s="606"/>
      <c r="L53" s="607"/>
      <c r="M53" s="605"/>
      <c r="N53" s="608"/>
      <c r="O53" s="608"/>
      <c r="P53" s="608"/>
      <c r="Q53" s="609"/>
      <c r="R53" s="609"/>
      <c r="S53" s="609"/>
      <c r="T53" s="609"/>
      <c r="U53" s="607"/>
      <c r="V53" s="607"/>
    </row>
    <row r="54" spans="1:23" x14ac:dyDescent="0.3">
      <c r="A54" s="215"/>
      <c r="B54" s="498"/>
      <c r="C54" s="498"/>
      <c r="D54" s="604"/>
      <c r="E54" s="604"/>
      <c r="F54" s="604"/>
      <c r="G54" s="605"/>
      <c r="H54" s="605"/>
      <c r="I54" s="606"/>
      <c r="J54" s="606"/>
      <c r="K54" s="606"/>
      <c r="L54" s="607"/>
      <c r="M54" s="605"/>
      <c r="N54" s="608"/>
      <c r="O54" s="608"/>
      <c r="P54" s="608"/>
      <c r="Q54" s="609"/>
      <c r="R54" s="609"/>
      <c r="S54" s="609"/>
      <c r="T54" s="609"/>
      <c r="U54" s="607"/>
      <c r="V54" s="607"/>
    </row>
    <row r="55" spans="1:23" x14ac:dyDescent="0.3">
      <c r="A55" s="215"/>
      <c r="B55" s="498"/>
      <c r="C55" s="498"/>
      <c r="D55" s="604"/>
      <c r="E55" s="604"/>
      <c r="F55" s="604"/>
      <c r="G55" s="605"/>
      <c r="H55" s="605"/>
      <c r="I55" s="606"/>
      <c r="J55" s="606"/>
      <c r="K55" s="606"/>
      <c r="L55" s="607"/>
      <c r="M55" s="605"/>
      <c r="N55" s="608"/>
      <c r="O55" s="608"/>
      <c r="P55" s="608"/>
      <c r="Q55" s="609"/>
      <c r="R55" s="609"/>
      <c r="S55" s="609"/>
      <c r="T55" s="609"/>
      <c r="U55" s="607"/>
      <c r="V55" s="607"/>
    </row>
    <row r="56" spans="1:23" x14ac:dyDescent="0.3">
      <c r="A56" s="215"/>
      <c r="B56" s="498"/>
      <c r="C56" s="498"/>
      <c r="D56" s="604"/>
      <c r="E56" s="604"/>
      <c r="F56" s="604"/>
      <c r="G56" s="605"/>
      <c r="H56" s="605"/>
      <c r="I56" s="606"/>
      <c r="J56" s="606"/>
      <c r="K56" s="606"/>
      <c r="L56" s="607"/>
      <c r="M56" s="605"/>
      <c r="N56" s="608"/>
      <c r="O56" s="608"/>
      <c r="P56" s="608"/>
      <c r="Q56" s="609"/>
      <c r="R56" s="609"/>
      <c r="S56" s="609"/>
      <c r="T56" s="609"/>
      <c r="U56" s="607"/>
      <c r="V56" s="607"/>
    </row>
    <row r="57" spans="1:23" x14ac:dyDescent="0.3">
      <c r="A57" s="215"/>
      <c r="B57" s="498"/>
      <c r="C57" s="498"/>
      <c r="D57" s="604"/>
      <c r="E57" s="604"/>
      <c r="F57" s="604"/>
      <c r="G57" s="605"/>
      <c r="H57" s="605"/>
      <c r="I57" s="606"/>
      <c r="J57" s="606"/>
      <c r="K57" s="606"/>
      <c r="L57" s="607"/>
      <c r="M57" s="605"/>
      <c r="N57" s="608"/>
      <c r="O57" s="608"/>
      <c r="P57" s="608"/>
      <c r="Q57" s="609"/>
      <c r="R57" s="609"/>
      <c r="S57" s="609"/>
      <c r="T57" s="609"/>
      <c r="U57" s="607"/>
      <c r="V57" s="607"/>
    </row>
    <row r="58" spans="1:23" x14ac:dyDescent="0.3">
      <c r="A58" s="215"/>
      <c r="B58" s="498"/>
      <c r="C58" s="498"/>
      <c r="D58" s="604"/>
      <c r="E58" s="604"/>
      <c r="F58" s="604"/>
      <c r="G58" s="605"/>
      <c r="H58" s="605"/>
      <c r="I58" s="606"/>
      <c r="J58" s="606"/>
      <c r="K58" s="606"/>
      <c r="L58" s="607"/>
      <c r="M58" s="605"/>
      <c r="N58" s="608"/>
      <c r="O58" s="608"/>
      <c r="P58" s="608"/>
      <c r="Q58" s="609"/>
      <c r="R58" s="609"/>
      <c r="S58" s="609"/>
      <c r="T58" s="609"/>
      <c r="U58" s="607"/>
      <c r="V58" s="607"/>
    </row>
    <row r="59" spans="1:23" x14ac:dyDescent="0.3">
      <c r="A59" s="215"/>
      <c r="B59" s="498"/>
      <c r="C59" s="498"/>
      <c r="D59" s="604"/>
      <c r="E59" s="604"/>
      <c r="F59" s="604"/>
      <c r="G59" s="605"/>
      <c r="H59" s="605"/>
      <c r="I59" s="606"/>
      <c r="J59" s="606"/>
      <c r="K59" s="606"/>
      <c r="L59" s="607"/>
      <c r="M59" s="605"/>
      <c r="N59" s="608"/>
      <c r="O59" s="608"/>
      <c r="P59" s="608"/>
      <c r="Q59" s="609"/>
      <c r="R59" s="609"/>
      <c r="S59" s="609"/>
      <c r="T59" s="609"/>
      <c r="U59" s="607"/>
      <c r="V59" s="607"/>
    </row>
    <row r="60" spans="1:23" x14ac:dyDescent="0.3">
      <c r="A60" s="215"/>
      <c r="B60" s="215"/>
      <c r="C60" s="215"/>
      <c r="D60" s="490"/>
      <c r="U60" s="490"/>
      <c r="V60" s="490"/>
    </row>
    <row r="61" spans="1:23" x14ac:dyDescent="0.3">
      <c r="A61" s="472" t="s">
        <v>715</v>
      </c>
      <c r="B61" s="215"/>
      <c r="C61" s="215"/>
      <c r="D61" s="215"/>
      <c r="E61" s="215"/>
      <c r="F61" s="215"/>
      <c r="G61" s="215"/>
      <c r="H61" s="215"/>
      <c r="I61" s="215"/>
      <c r="J61" s="215"/>
      <c r="K61" s="215"/>
      <c r="L61" s="215"/>
      <c r="M61" s="215"/>
      <c r="N61" s="215"/>
      <c r="O61" s="472" t="s">
        <v>716</v>
      </c>
      <c r="P61" s="215"/>
      <c r="Q61" s="215"/>
      <c r="R61" s="215"/>
      <c r="S61" s="215"/>
      <c r="T61" s="215"/>
      <c r="U61" s="215"/>
      <c r="V61" s="215"/>
      <c r="W61" s="215"/>
    </row>
    <row r="62" spans="1:23" x14ac:dyDescent="0.3">
      <c r="A62" s="657" t="s">
        <v>717</v>
      </c>
      <c r="B62" s="657"/>
      <c r="C62" s="657"/>
      <c r="D62" s="657"/>
      <c r="E62" s="491">
        <f>AVERAGE(datos!H26:I26)</f>
        <v>20.5</v>
      </c>
      <c r="F62" s="480" t="s">
        <v>718</v>
      </c>
      <c r="G62" s="492">
        <v>0.5</v>
      </c>
      <c r="H62" s="475" t="s">
        <v>7</v>
      </c>
      <c r="I62" s="215"/>
      <c r="J62" s="215"/>
      <c r="K62" s="656"/>
      <c r="L62" s="656"/>
      <c r="M62" s="215"/>
      <c r="N62" s="215"/>
      <c r="O62" s="657" t="s">
        <v>719</v>
      </c>
      <c r="P62" s="657"/>
      <c r="Q62" s="657"/>
      <c r="R62" s="215">
        <f>AVERAGE(datos!H28:I28)</f>
        <v>1001</v>
      </c>
      <c r="S62" s="480" t="s">
        <v>720</v>
      </c>
      <c r="T62" s="480" t="s">
        <v>120</v>
      </c>
      <c r="U62" s="491">
        <v>1.5</v>
      </c>
      <c r="V62" s="215" t="s">
        <v>720</v>
      </c>
      <c r="W62" s="215"/>
    </row>
    <row r="63" spans="1:23" x14ac:dyDescent="0.3">
      <c r="A63" s="657" t="s">
        <v>721</v>
      </c>
      <c r="B63" s="657"/>
      <c r="C63" s="657"/>
      <c r="D63" s="657"/>
      <c r="E63" s="491">
        <f>AVERAGE(datos!H27:I27)</f>
        <v>48.650000000000006</v>
      </c>
      <c r="F63" s="480" t="s">
        <v>722</v>
      </c>
      <c r="G63" s="492">
        <v>3.6</v>
      </c>
      <c r="H63" s="655" t="s">
        <v>723</v>
      </c>
      <c r="I63" s="655"/>
      <c r="J63" s="215"/>
      <c r="K63" s="215"/>
      <c r="L63" s="215"/>
      <c r="M63" s="215"/>
      <c r="N63" s="215"/>
      <c r="O63" s="215"/>
      <c r="P63" s="215"/>
      <c r="Q63" s="215"/>
      <c r="R63" s="215"/>
      <c r="S63" s="215"/>
      <c r="T63" s="215"/>
      <c r="U63" s="215"/>
      <c r="V63" s="215"/>
      <c r="W63" s="215"/>
    </row>
    <row r="64" spans="1:23" x14ac:dyDescent="0.3">
      <c r="A64" s="475"/>
      <c r="B64" s="475"/>
      <c r="C64" s="475"/>
      <c r="D64" s="475"/>
      <c r="E64" s="491"/>
      <c r="F64" s="480"/>
      <c r="G64" s="492"/>
      <c r="H64" s="480"/>
      <c r="I64" s="215"/>
      <c r="J64" s="215"/>
      <c r="K64" s="215"/>
      <c r="Q64" s="215"/>
      <c r="R64" s="215"/>
      <c r="U64" s="215"/>
      <c r="V64" s="215"/>
      <c r="W64" s="215"/>
    </row>
    <row r="65" spans="1:24" x14ac:dyDescent="0.3">
      <c r="A65" s="472" t="s">
        <v>706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V65" s="215"/>
    </row>
    <row r="66" spans="1:24" ht="15" customHeight="1" x14ac:dyDescent="0.3">
      <c r="A66" s="493" t="s">
        <v>724</v>
      </c>
      <c r="B66" s="473"/>
      <c r="C66" s="473"/>
      <c r="D66" s="493"/>
      <c r="E66" s="473"/>
      <c r="F66" s="473"/>
      <c r="G66" s="473"/>
      <c r="H66" s="473"/>
      <c r="I66" s="473"/>
      <c r="J66" s="473"/>
      <c r="K66" s="473"/>
      <c r="L66" s="473"/>
      <c r="M66" s="473"/>
      <c r="N66" s="473"/>
      <c r="O66" s="473"/>
      <c r="P66" s="473"/>
      <c r="Q66" s="473"/>
      <c r="R66" s="473"/>
      <c r="S66" s="473"/>
      <c r="T66" s="473"/>
      <c r="U66" s="473"/>
      <c r="V66" s="473"/>
      <c r="W66" s="473"/>
    </row>
    <row r="67" spans="1:24" ht="15" customHeight="1" x14ac:dyDescent="0.3">
      <c r="A67" s="493"/>
      <c r="B67" s="473"/>
      <c r="C67" s="473"/>
      <c r="D67" s="493"/>
      <c r="E67" s="473"/>
      <c r="F67" s="473"/>
      <c r="G67" s="473"/>
      <c r="H67" s="473"/>
      <c r="I67" s="473"/>
      <c r="J67" s="473"/>
      <c r="K67" s="473"/>
      <c r="L67" s="473"/>
      <c r="M67" s="473"/>
      <c r="N67" s="473"/>
      <c r="O67" s="473"/>
      <c r="P67" s="473"/>
      <c r="Q67" s="473"/>
      <c r="R67" s="473"/>
      <c r="S67" s="473"/>
      <c r="T67" s="473"/>
      <c r="U67" s="473"/>
      <c r="V67" s="473"/>
      <c r="W67" s="473"/>
    </row>
    <row r="68" spans="1:24" ht="15" customHeight="1" x14ac:dyDescent="0.3">
      <c r="A68" s="472" t="s">
        <v>707</v>
      </c>
      <c r="B68" s="473"/>
      <c r="C68" s="473"/>
      <c r="D68" s="473"/>
      <c r="E68" s="473"/>
      <c r="F68" s="473"/>
      <c r="G68" s="473"/>
      <c r="H68" s="473"/>
      <c r="I68" s="473"/>
      <c r="J68" s="473"/>
      <c r="K68" s="473"/>
      <c r="L68" s="473"/>
      <c r="M68" s="473"/>
      <c r="N68" s="473"/>
      <c r="O68" s="473"/>
      <c r="P68" s="473"/>
      <c r="Q68" s="473"/>
      <c r="R68" s="473"/>
      <c r="S68" s="473"/>
      <c r="T68" s="473"/>
      <c r="U68" s="473"/>
      <c r="V68" s="473"/>
      <c r="W68" s="473"/>
    </row>
    <row r="69" spans="1:24" ht="15" customHeight="1" x14ac:dyDescent="0.3">
      <c r="A69" s="658" t="s">
        <v>725</v>
      </c>
      <c r="B69" s="658"/>
      <c r="C69" s="658"/>
      <c r="D69" s="658"/>
      <c r="E69" s="658"/>
      <c r="F69" s="658"/>
      <c r="G69" s="658"/>
      <c r="H69" s="658"/>
      <c r="I69" s="658"/>
      <c r="J69" s="658"/>
      <c r="K69" s="658"/>
      <c r="L69" s="658"/>
      <c r="M69" s="658"/>
      <c r="N69" s="658"/>
      <c r="O69" s="658"/>
      <c r="P69" s="658"/>
      <c r="Q69" s="658"/>
      <c r="R69" s="658"/>
      <c r="S69" s="658"/>
      <c r="T69" s="658"/>
      <c r="U69" s="658"/>
      <c r="V69" s="658"/>
      <c r="W69" s="658"/>
    </row>
    <row r="70" spans="1:24" ht="15" customHeight="1" x14ac:dyDescent="0.3">
      <c r="A70" s="658"/>
      <c r="B70" s="658"/>
      <c r="C70" s="658"/>
      <c r="D70" s="658"/>
      <c r="E70" s="658"/>
      <c r="F70" s="658"/>
      <c r="G70" s="658"/>
      <c r="H70" s="658"/>
      <c r="I70" s="658"/>
      <c r="J70" s="658"/>
      <c r="K70" s="658"/>
      <c r="L70" s="658"/>
      <c r="M70" s="658"/>
      <c r="N70" s="658"/>
      <c r="O70" s="658"/>
      <c r="P70" s="658"/>
      <c r="Q70" s="658"/>
      <c r="R70" s="658"/>
      <c r="S70" s="658"/>
      <c r="T70" s="658"/>
      <c r="U70" s="658"/>
      <c r="V70" s="658"/>
      <c r="W70" s="658"/>
    </row>
    <row r="71" spans="1:24" x14ac:dyDescent="0.3">
      <c r="A71" s="658"/>
      <c r="B71" s="658"/>
      <c r="C71" s="658"/>
      <c r="D71" s="658"/>
      <c r="E71" s="658"/>
      <c r="F71" s="658"/>
      <c r="G71" s="658"/>
      <c r="H71" s="658"/>
      <c r="I71" s="658"/>
      <c r="J71" s="658"/>
      <c r="K71" s="658"/>
      <c r="L71" s="658"/>
      <c r="M71" s="658"/>
      <c r="N71" s="658"/>
      <c r="O71" s="658"/>
      <c r="P71" s="658"/>
      <c r="Q71" s="658"/>
      <c r="R71" s="658"/>
      <c r="S71" s="658"/>
      <c r="T71" s="658"/>
      <c r="U71" s="658"/>
      <c r="V71" s="658"/>
      <c r="W71" s="658"/>
    </row>
    <row r="72" spans="1:24" x14ac:dyDescent="0.3">
      <c r="A72" s="658"/>
      <c r="B72" s="658"/>
      <c r="C72" s="658"/>
      <c r="D72" s="658"/>
      <c r="E72" s="658"/>
      <c r="F72" s="658"/>
      <c r="G72" s="658"/>
      <c r="H72" s="658"/>
      <c r="I72" s="658"/>
      <c r="J72" s="658"/>
      <c r="K72" s="658"/>
      <c r="L72" s="658"/>
      <c r="M72" s="658"/>
      <c r="N72" s="658"/>
      <c r="O72" s="658"/>
      <c r="P72" s="658"/>
      <c r="Q72" s="658"/>
      <c r="R72" s="658"/>
      <c r="S72" s="658"/>
      <c r="T72" s="658"/>
      <c r="U72" s="658"/>
      <c r="V72" s="658"/>
      <c r="W72" s="658"/>
    </row>
    <row r="73" spans="1:24" x14ac:dyDescent="0.3">
      <c r="A73" s="658"/>
      <c r="B73" s="658"/>
      <c r="C73" s="658"/>
      <c r="D73" s="658"/>
      <c r="E73" s="658"/>
      <c r="F73" s="658"/>
      <c r="G73" s="658"/>
      <c r="H73" s="658"/>
      <c r="I73" s="658"/>
      <c r="J73" s="658"/>
      <c r="K73" s="658"/>
      <c r="L73" s="658"/>
      <c r="M73" s="658"/>
      <c r="N73" s="658"/>
      <c r="O73" s="658"/>
      <c r="P73" s="658"/>
      <c r="Q73" s="658"/>
      <c r="R73" s="658"/>
      <c r="S73" s="658"/>
      <c r="T73" s="658"/>
      <c r="U73" s="658"/>
      <c r="V73" s="658"/>
      <c r="W73" s="658"/>
    </row>
    <row r="74" spans="1:24" x14ac:dyDescent="0.3">
      <c r="A74" s="472" t="s">
        <v>708</v>
      </c>
      <c r="B74" s="215"/>
      <c r="C74" s="215"/>
      <c r="D74" s="215"/>
      <c r="E74" s="215"/>
      <c r="F74" s="215"/>
      <c r="G74" s="215"/>
      <c r="H74" s="215"/>
      <c r="I74" s="215"/>
      <c r="J74" s="215"/>
      <c r="K74" s="215"/>
      <c r="L74" s="215"/>
      <c r="M74" s="215"/>
      <c r="N74" s="215"/>
      <c r="O74" s="215"/>
      <c r="P74" s="215"/>
      <c r="Q74" s="215"/>
      <c r="R74" s="215"/>
      <c r="S74" s="215"/>
      <c r="T74" s="215"/>
      <c r="U74" s="215"/>
      <c r="V74" s="215"/>
    </row>
    <row r="75" spans="1:24" x14ac:dyDescent="0.3">
      <c r="A75" s="473"/>
      <c r="B75" s="473"/>
      <c r="C75" s="473"/>
      <c r="D75" s="473"/>
      <c r="E75" s="473"/>
      <c r="F75" s="473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</row>
    <row r="76" spans="1:24" x14ac:dyDescent="0.3">
      <c r="A76" s="660" t="s">
        <v>726</v>
      </c>
      <c r="B76" s="660"/>
      <c r="C76" s="660"/>
      <c r="D76" s="660"/>
      <c r="E76" s="660" t="s">
        <v>1</v>
      </c>
      <c r="F76" s="660"/>
      <c r="G76" s="660"/>
      <c r="H76" s="660"/>
      <c r="I76" s="660"/>
      <c r="J76" s="660"/>
      <c r="K76" s="661" t="s">
        <v>15</v>
      </c>
      <c r="L76" s="661"/>
      <c r="M76" s="661"/>
      <c r="N76" s="661"/>
      <c r="O76" s="661"/>
      <c r="P76" s="661"/>
      <c r="Q76" s="660" t="s">
        <v>727</v>
      </c>
      <c r="R76" s="660"/>
      <c r="S76" s="660"/>
      <c r="T76" s="660"/>
      <c r="U76" s="661" t="s">
        <v>728</v>
      </c>
      <c r="V76" s="661"/>
      <c r="W76" s="661"/>
      <c r="X76" s="661"/>
    </row>
    <row r="77" spans="1:24" x14ac:dyDescent="0.3">
      <c r="A77" s="654"/>
      <c r="B77" s="654"/>
      <c r="C77" s="654"/>
      <c r="D77" s="654"/>
      <c r="E77" s="654"/>
      <c r="F77" s="654"/>
      <c r="G77" s="654"/>
      <c r="H77" s="654"/>
      <c r="I77" s="654"/>
      <c r="J77" s="654"/>
      <c r="K77" s="654"/>
      <c r="L77" s="654"/>
      <c r="M77" s="654"/>
      <c r="N77" s="654"/>
      <c r="O77" s="654"/>
      <c r="P77" s="654"/>
      <c r="Q77" s="654"/>
      <c r="R77" s="654"/>
      <c r="S77" s="654"/>
      <c r="T77" s="654"/>
      <c r="U77" s="659"/>
      <c r="V77" s="659"/>
      <c r="W77" s="659"/>
      <c r="X77" s="659"/>
    </row>
    <row r="78" spans="1:24" x14ac:dyDescent="0.3">
      <c r="A78" s="654"/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654"/>
      <c r="T78" s="654"/>
      <c r="U78" s="659"/>
      <c r="V78" s="659"/>
      <c r="W78" s="659"/>
      <c r="X78" s="659"/>
    </row>
    <row r="79" spans="1:24" x14ac:dyDescent="0.3">
      <c r="A79" s="476"/>
      <c r="B79" s="476"/>
      <c r="C79" s="476"/>
      <c r="D79" s="476"/>
      <c r="E79" s="476"/>
      <c r="F79" s="476"/>
      <c r="G79" s="476"/>
      <c r="H79" s="476"/>
      <c r="I79" s="476"/>
      <c r="J79" s="476"/>
      <c r="K79" s="476"/>
      <c r="L79" s="476"/>
      <c r="M79" s="476"/>
      <c r="N79" s="476"/>
      <c r="O79" s="476"/>
      <c r="P79" s="476"/>
      <c r="Q79" s="476"/>
      <c r="R79" s="476"/>
      <c r="S79" s="476"/>
      <c r="T79" s="476"/>
      <c r="U79" s="476"/>
      <c r="V79" s="476"/>
      <c r="W79" s="476"/>
    </row>
    <row r="80" spans="1:24" x14ac:dyDescent="0.3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</row>
    <row r="81" spans="1:23" x14ac:dyDescent="0.3">
      <c r="A81" s="475"/>
      <c r="B81" s="475"/>
      <c r="C81" s="475"/>
      <c r="D81" s="475"/>
      <c r="E81" s="491"/>
      <c r="F81" s="480"/>
      <c r="G81" s="492"/>
      <c r="H81" s="480"/>
      <c r="I81" s="215"/>
      <c r="J81" s="215"/>
      <c r="K81" s="215"/>
      <c r="L81" s="215"/>
      <c r="M81" s="215"/>
      <c r="N81" s="215"/>
      <c r="O81" s="215"/>
      <c r="P81" s="215"/>
      <c r="Q81" s="215"/>
      <c r="R81" s="215"/>
      <c r="S81" s="215"/>
      <c r="T81" s="215"/>
      <c r="U81" s="215"/>
      <c r="V81" s="215"/>
      <c r="W81" s="215"/>
    </row>
    <row r="82" spans="1:23" x14ac:dyDescent="0.3">
      <c r="A82" s="475"/>
      <c r="B82" s="475"/>
      <c r="C82" s="475"/>
      <c r="D82" s="475"/>
      <c r="E82" s="491"/>
      <c r="F82" s="480"/>
      <c r="G82" s="492"/>
      <c r="H82" s="480"/>
      <c r="I82" s="215"/>
      <c r="J82" s="215"/>
      <c r="K82" s="215"/>
      <c r="L82" s="215"/>
      <c r="M82" s="215"/>
      <c r="N82" s="215"/>
      <c r="O82" s="215"/>
      <c r="P82" s="215"/>
      <c r="Q82" s="215"/>
      <c r="R82" s="215"/>
      <c r="S82" s="215"/>
      <c r="T82" s="215"/>
      <c r="U82" s="215"/>
      <c r="V82" s="215"/>
      <c r="W82" s="215"/>
    </row>
    <row r="83" spans="1:23" x14ac:dyDescent="0.3">
      <c r="A83" s="475"/>
      <c r="B83" s="475"/>
      <c r="C83" s="475"/>
      <c r="D83" s="475"/>
      <c r="E83" s="491"/>
      <c r="F83" s="480"/>
      <c r="G83" s="492"/>
      <c r="H83" s="480"/>
      <c r="I83" s="215"/>
      <c r="J83" s="215"/>
      <c r="K83" s="215"/>
      <c r="L83" s="215"/>
      <c r="M83" s="215"/>
      <c r="N83" s="215"/>
      <c r="O83" s="215"/>
      <c r="P83" s="215"/>
      <c r="Q83" s="215"/>
      <c r="R83" s="215"/>
      <c r="S83" s="215"/>
      <c r="T83" s="215"/>
      <c r="U83" s="215"/>
      <c r="V83" s="215"/>
      <c r="W83" s="215"/>
    </row>
    <row r="84" spans="1:23" x14ac:dyDescent="0.3">
      <c r="A84" s="475"/>
      <c r="B84" s="475"/>
      <c r="C84" s="475"/>
      <c r="D84" s="475"/>
      <c r="E84" s="491"/>
      <c r="F84" s="480"/>
      <c r="G84" s="492"/>
      <c r="H84" s="480"/>
      <c r="I84" s="215"/>
      <c r="J84" s="215"/>
      <c r="K84" s="215"/>
      <c r="L84" s="215"/>
      <c r="M84" s="215"/>
      <c r="N84" s="215"/>
      <c r="O84" s="215"/>
      <c r="P84" s="215"/>
      <c r="Q84" s="215"/>
      <c r="R84" s="215"/>
      <c r="S84" s="215"/>
      <c r="T84" s="215"/>
      <c r="U84" s="215"/>
      <c r="V84" s="215"/>
      <c r="W84" s="215"/>
    </row>
    <row r="85" spans="1:23" x14ac:dyDescent="0.3">
      <c r="A85" s="475"/>
      <c r="B85" s="475"/>
      <c r="C85" s="475"/>
      <c r="D85" s="475"/>
      <c r="E85" s="491"/>
      <c r="F85" s="480"/>
      <c r="G85" s="492"/>
      <c r="H85" s="480"/>
      <c r="I85" s="215"/>
      <c r="J85" s="215"/>
      <c r="K85" s="215"/>
      <c r="L85" s="215"/>
      <c r="M85" s="215"/>
      <c r="N85" s="215"/>
      <c r="O85" s="215"/>
      <c r="P85" s="215"/>
      <c r="Q85" s="215"/>
      <c r="R85" s="215"/>
      <c r="S85" s="215"/>
      <c r="T85" s="215"/>
      <c r="U85" s="215"/>
      <c r="V85" s="215"/>
      <c r="W85" s="215"/>
    </row>
    <row r="86" spans="1:23" x14ac:dyDescent="0.3">
      <c r="A86" s="475"/>
      <c r="B86" s="475"/>
      <c r="C86" s="475"/>
      <c r="D86" s="475"/>
      <c r="E86" s="491"/>
      <c r="F86" s="480"/>
      <c r="G86" s="492"/>
      <c r="H86" s="480"/>
      <c r="I86" s="215"/>
      <c r="J86" s="215"/>
      <c r="K86" s="215"/>
      <c r="L86" s="215"/>
      <c r="M86" s="215"/>
      <c r="N86" s="215"/>
      <c r="O86" s="215"/>
      <c r="P86" s="215"/>
      <c r="Q86" s="215"/>
      <c r="R86" s="215"/>
      <c r="S86" s="215"/>
      <c r="T86" s="215"/>
      <c r="U86" s="215"/>
      <c r="V86" s="215"/>
      <c r="W86" s="215"/>
    </row>
    <row r="87" spans="1:23" x14ac:dyDescent="0.3">
      <c r="A87" s="475"/>
      <c r="B87" s="475"/>
      <c r="C87" s="475"/>
      <c r="D87" s="475"/>
      <c r="E87" s="491"/>
      <c r="F87" s="480"/>
      <c r="G87" s="492"/>
      <c r="H87" s="480"/>
      <c r="I87" s="215"/>
      <c r="J87" s="215"/>
      <c r="K87" s="215"/>
      <c r="L87" s="215"/>
      <c r="M87" s="215"/>
      <c r="N87" s="215"/>
      <c r="O87" s="215"/>
      <c r="P87" s="215"/>
      <c r="Q87" s="215"/>
      <c r="R87" s="215"/>
      <c r="S87" s="215"/>
      <c r="T87" s="215"/>
      <c r="U87" s="215"/>
      <c r="V87" s="215"/>
      <c r="W87" s="215"/>
    </row>
    <row r="88" spans="1:23" x14ac:dyDescent="0.3">
      <c r="A88" s="475"/>
      <c r="B88" s="475"/>
      <c r="C88" s="475"/>
      <c r="D88" s="475"/>
      <c r="E88" s="491"/>
      <c r="F88" s="480"/>
      <c r="G88" s="492"/>
      <c r="H88" s="480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/>
      <c r="V88" s="215"/>
      <c r="W88" s="215"/>
    </row>
    <row r="89" spans="1:23" x14ac:dyDescent="0.3">
      <c r="A89" s="472" t="s">
        <v>352</v>
      </c>
      <c r="B89" s="215"/>
      <c r="C89" s="486"/>
      <c r="D89" s="487"/>
      <c r="E89" s="487"/>
      <c r="F89" s="487"/>
      <c r="G89" s="215"/>
      <c r="H89" s="215"/>
      <c r="I89" s="215"/>
      <c r="J89" s="215"/>
      <c r="K89" s="215"/>
      <c r="L89" s="215"/>
      <c r="M89" s="215"/>
      <c r="N89" s="662" t="str">
        <f>N9</f>
        <v>NI-MC-M-2056-2024</v>
      </c>
      <c r="O89" s="662"/>
      <c r="P89" s="662"/>
      <c r="Q89" s="662"/>
      <c r="R89" s="662"/>
      <c r="S89" s="662"/>
      <c r="T89" s="662"/>
      <c r="U89" s="662"/>
      <c r="V89" s="662"/>
      <c r="W89" s="662"/>
    </row>
    <row r="90" spans="1:23" x14ac:dyDescent="0.3">
      <c r="A90" s="472"/>
      <c r="B90" s="215"/>
      <c r="C90" s="486"/>
      <c r="D90" s="487"/>
      <c r="E90" s="487"/>
      <c r="F90" s="487"/>
      <c r="G90" s="215"/>
      <c r="H90" s="215"/>
      <c r="I90" s="215"/>
      <c r="J90" s="215"/>
      <c r="K90" s="215"/>
      <c r="L90" s="215"/>
      <c r="M90" s="215"/>
      <c r="N90" s="494"/>
      <c r="O90" s="494"/>
      <c r="P90" s="494"/>
      <c r="Q90" s="494"/>
      <c r="R90" s="494"/>
      <c r="S90" s="494"/>
      <c r="T90" s="494"/>
      <c r="U90" s="494"/>
      <c r="V90" s="494"/>
      <c r="W90" s="494"/>
    </row>
    <row r="91" spans="1:23" x14ac:dyDescent="0.3">
      <c r="A91" s="472"/>
      <c r="B91" s="215"/>
      <c r="C91" s="486"/>
      <c r="D91" s="487"/>
      <c r="E91" s="487"/>
      <c r="F91" s="487"/>
      <c r="G91" s="215"/>
      <c r="H91" s="215"/>
      <c r="I91" s="215"/>
      <c r="J91" s="215"/>
      <c r="K91" s="215"/>
      <c r="L91" s="215"/>
      <c r="M91" s="215"/>
      <c r="N91" s="494"/>
      <c r="O91" s="494"/>
      <c r="P91" s="494"/>
      <c r="Q91" s="494"/>
      <c r="R91" s="494"/>
      <c r="S91" s="494"/>
      <c r="T91" s="494"/>
      <c r="U91" s="494"/>
      <c r="V91" s="494"/>
      <c r="W91" s="494"/>
    </row>
    <row r="92" spans="1:23" ht="15" customHeight="1" x14ac:dyDescent="0.3">
      <c r="A92" s="472" t="s">
        <v>709</v>
      </c>
      <c r="B92" s="215"/>
      <c r="C92" s="215"/>
      <c r="D92" s="215"/>
      <c r="E92" s="215"/>
      <c r="F92" s="215"/>
      <c r="G92" s="215"/>
      <c r="H92" s="215"/>
      <c r="I92" s="215"/>
      <c r="J92" s="215"/>
      <c r="K92" s="215"/>
      <c r="L92" s="215"/>
      <c r="M92" s="215"/>
      <c r="N92" s="215"/>
      <c r="O92" s="215"/>
      <c r="P92" s="215"/>
      <c r="Q92" s="215"/>
      <c r="R92" s="215"/>
      <c r="S92" s="215"/>
      <c r="T92" s="215"/>
      <c r="U92" s="215"/>
      <c r="V92" s="215"/>
    </row>
    <row r="93" spans="1:23" x14ac:dyDescent="0.3">
      <c r="A93" s="495" t="s">
        <v>710</v>
      </c>
      <c r="B93" s="215"/>
      <c r="C93" s="473"/>
      <c r="D93" s="473"/>
      <c r="E93" s="473"/>
      <c r="F93" s="473"/>
      <c r="G93" s="473"/>
      <c r="H93" s="473"/>
      <c r="I93" s="473"/>
      <c r="J93" s="473"/>
      <c r="K93" s="473"/>
      <c r="L93" s="473"/>
      <c r="M93" s="473"/>
      <c r="N93" s="473"/>
      <c r="O93" s="473"/>
      <c r="P93" s="473"/>
      <c r="Q93" s="473"/>
      <c r="R93" s="473"/>
      <c r="S93" s="473"/>
      <c r="T93" s="473"/>
      <c r="U93" s="473"/>
      <c r="V93" s="473"/>
      <c r="W93" s="215"/>
    </row>
    <row r="94" spans="1:23" x14ac:dyDescent="0.3">
      <c r="A94" s="495" t="s">
        <v>729</v>
      </c>
      <c r="B94" s="215"/>
      <c r="C94" s="215"/>
      <c r="D94" s="215"/>
      <c r="E94" s="215"/>
      <c r="F94" s="215"/>
      <c r="G94" s="215"/>
      <c r="H94" s="215"/>
      <c r="I94" s="215"/>
      <c r="J94" s="215"/>
      <c r="K94" s="215"/>
      <c r="L94" s="215"/>
      <c r="M94" s="215"/>
      <c r="N94" s="215"/>
      <c r="O94" s="215"/>
      <c r="P94" s="215"/>
      <c r="Q94" s="215"/>
      <c r="R94" s="215"/>
      <c r="S94" s="215"/>
      <c r="T94" s="215"/>
      <c r="U94" s="215"/>
      <c r="V94" s="215"/>
      <c r="W94" s="215"/>
    </row>
    <row r="95" spans="1:23" ht="15" customHeight="1" x14ac:dyDescent="0.3">
      <c r="A95" s="495" t="s">
        <v>730</v>
      </c>
      <c r="B95" s="215"/>
      <c r="C95" s="215"/>
      <c r="D95" s="215"/>
      <c r="E95" s="215"/>
      <c r="F95" s="215"/>
      <c r="G95" s="215"/>
      <c r="H95" s="215"/>
      <c r="I95" s="215"/>
      <c r="J95" s="215"/>
      <c r="K95" s="215"/>
      <c r="L95" s="215"/>
      <c r="M95" s="215"/>
      <c r="N95" s="215"/>
      <c r="O95" s="215"/>
      <c r="P95" s="215"/>
      <c r="Q95" s="215"/>
      <c r="R95" s="215"/>
      <c r="S95" s="215"/>
      <c r="T95" s="215"/>
      <c r="U95" s="215"/>
      <c r="V95" s="215"/>
      <c r="W95" s="215"/>
    </row>
    <row r="96" spans="1:23" x14ac:dyDescent="0.3">
      <c r="A96" s="215" t="s">
        <v>744</v>
      </c>
      <c r="B96" s="215"/>
      <c r="C96" s="215"/>
      <c r="D96" s="215"/>
      <c r="E96" s="215"/>
      <c r="F96" s="215"/>
      <c r="G96" s="215"/>
      <c r="H96" s="215"/>
      <c r="I96" s="215"/>
      <c r="J96" s="215"/>
      <c r="K96" s="215"/>
      <c r="L96" s="215"/>
      <c r="M96" s="215"/>
      <c r="N96" s="215"/>
      <c r="O96" s="215"/>
      <c r="P96" s="215"/>
      <c r="Q96" s="215"/>
      <c r="R96" s="473"/>
      <c r="S96" s="473"/>
      <c r="T96" s="215"/>
      <c r="U96" s="215"/>
      <c r="V96" s="215"/>
      <c r="W96" s="215"/>
    </row>
    <row r="97" spans="1:24" x14ac:dyDescent="0.3">
      <c r="A97" s="215" t="s">
        <v>745</v>
      </c>
      <c r="B97" s="215"/>
      <c r="C97" s="215"/>
      <c r="D97" s="215"/>
      <c r="E97" s="215"/>
      <c r="F97" s="215"/>
      <c r="G97" s="215"/>
      <c r="H97" s="215"/>
      <c r="I97" s="215"/>
      <c r="J97" s="215"/>
      <c r="K97" s="215"/>
      <c r="L97" s="215"/>
      <c r="M97" s="215"/>
      <c r="N97" s="215"/>
      <c r="O97" s="215"/>
      <c r="P97" s="215"/>
      <c r="Q97" s="215"/>
      <c r="R97" s="496"/>
      <c r="S97" s="496"/>
      <c r="T97" s="496"/>
      <c r="U97" s="496"/>
      <c r="V97" s="496"/>
    </row>
    <row r="98" spans="1:24" x14ac:dyDescent="0.3">
      <c r="X98" s="215"/>
    </row>
    <row r="99" spans="1:24" x14ac:dyDescent="0.3">
      <c r="X99" s="215"/>
    </row>
    <row r="102" spans="1:24" x14ac:dyDescent="0.3">
      <c r="I102" s="663" t="s">
        <v>544</v>
      </c>
      <c r="J102" s="663"/>
      <c r="K102" s="663"/>
      <c r="L102" s="663"/>
      <c r="M102" s="663"/>
      <c r="N102" s="663"/>
      <c r="O102" s="663"/>
      <c r="P102" s="663"/>
    </row>
    <row r="103" spans="1:24" x14ac:dyDescent="0.3">
      <c r="I103" s="664" t="str">
        <f>IF($I$102=[3]Generales!F1,[3]Generales!F6,[3]Generales!F5)</f>
        <v>Director Técnico</v>
      </c>
      <c r="J103" s="664"/>
      <c r="K103" s="664"/>
      <c r="L103" s="664"/>
      <c r="M103" s="664"/>
      <c r="N103" s="664"/>
      <c r="O103" s="664"/>
      <c r="P103" s="664"/>
    </row>
    <row r="104" spans="1:24" x14ac:dyDescent="0.3">
      <c r="I104" s="665" t="s">
        <v>711</v>
      </c>
      <c r="J104" s="665"/>
      <c r="K104" s="665"/>
      <c r="L104" s="665"/>
      <c r="M104" s="665"/>
      <c r="N104" s="665"/>
      <c r="O104" s="665"/>
      <c r="P104" s="665"/>
    </row>
    <row r="106" spans="1:24" x14ac:dyDescent="0.3">
      <c r="I106" s="655" t="s">
        <v>733</v>
      </c>
      <c r="J106" s="655"/>
      <c r="K106" s="655"/>
      <c r="L106" s="655"/>
      <c r="M106" s="655"/>
      <c r="N106" s="655"/>
      <c r="O106" s="655"/>
      <c r="P106" s="655"/>
    </row>
  </sheetData>
  <mergeCells count="184">
    <mergeCell ref="K48:L48"/>
    <mergeCell ref="N48:P48"/>
    <mergeCell ref="Q48:R48"/>
    <mergeCell ref="S48:T48"/>
    <mergeCell ref="U48:V48"/>
    <mergeCell ref="K47:L47"/>
    <mergeCell ref="N47:P47"/>
    <mergeCell ref="Q47:R47"/>
    <mergeCell ref="S47:T47"/>
    <mergeCell ref="U47:V47"/>
    <mergeCell ref="K46:L46"/>
    <mergeCell ref="N46:P46"/>
    <mergeCell ref="Q46:R46"/>
    <mergeCell ref="S46:T46"/>
    <mergeCell ref="U46:V46"/>
    <mergeCell ref="K45:L45"/>
    <mergeCell ref="N45:P45"/>
    <mergeCell ref="Q45:R45"/>
    <mergeCell ref="S45:T45"/>
    <mergeCell ref="U45:V45"/>
    <mergeCell ref="K44:L44"/>
    <mergeCell ref="N44:P44"/>
    <mergeCell ref="Q44:R44"/>
    <mergeCell ref="S44:T44"/>
    <mergeCell ref="U44:V44"/>
    <mergeCell ref="K43:L43"/>
    <mergeCell ref="N43:P43"/>
    <mergeCell ref="Q43:R43"/>
    <mergeCell ref="S43:T43"/>
    <mergeCell ref="U43:V43"/>
    <mergeCell ref="K42:L42"/>
    <mergeCell ref="N42:P42"/>
    <mergeCell ref="Q42:R42"/>
    <mergeCell ref="S42:T42"/>
    <mergeCell ref="U42:V42"/>
    <mergeCell ref="K41:L41"/>
    <mergeCell ref="N41:P41"/>
    <mergeCell ref="Q41:R41"/>
    <mergeCell ref="S41:T41"/>
    <mergeCell ref="U41:V41"/>
    <mergeCell ref="U35:V35"/>
    <mergeCell ref="K40:L40"/>
    <mergeCell ref="N40:P40"/>
    <mergeCell ref="Q40:R40"/>
    <mergeCell ref="S40:T40"/>
    <mergeCell ref="U40:V40"/>
    <mergeCell ref="S38:T38"/>
    <mergeCell ref="U38:V38"/>
    <mergeCell ref="K39:L39"/>
    <mergeCell ref="N39:P39"/>
    <mergeCell ref="Q39:R39"/>
    <mergeCell ref="S39:T39"/>
    <mergeCell ref="U39:V39"/>
    <mergeCell ref="I48:J48"/>
    <mergeCell ref="K32:L32"/>
    <mergeCell ref="N32:P32"/>
    <mergeCell ref="Q32:R32"/>
    <mergeCell ref="S32:T32"/>
    <mergeCell ref="K34:L34"/>
    <mergeCell ref="N34:P34"/>
    <mergeCell ref="Q34:R34"/>
    <mergeCell ref="S34:T34"/>
    <mergeCell ref="K36:L36"/>
    <mergeCell ref="N36:P36"/>
    <mergeCell ref="Q36:R36"/>
    <mergeCell ref="S36:T36"/>
    <mergeCell ref="K38:L38"/>
    <mergeCell ref="N38:P38"/>
    <mergeCell ref="Q38:R38"/>
    <mergeCell ref="I43:J43"/>
    <mergeCell ref="I44:J44"/>
    <mergeCell ref="K37:L37"/>
    <mergeCell ref="N37:P37"/>
    <mergeCell ref="Q37:R37"/>
    <mergeCell ref="S37:T37"/>
    <mergeCell ref="K35:L35"/>
    <mergeCell ref="N35:P35"/>
    <mergeCell ref="I47:J47"/>
    <mergeCell ref="K31:L31"/>
    <mergeCell ref="N31:P31"/>
    <mergeCell ref="Q31:R31"/>
    <mergeCell ref="S31:T31"/>
    <mergeCell ref="U31:V31"/>
    <mergeCell ref="E46:F46"/>
    <mergeCell ref="E47:F47"/>
    <mergeCell ref="E31:F31"/>
    <mergeCell ref="E32:F32"/>
    <mergeCell ref="E33:F33"/>
    <mergeCell ref="E34:F34"/>
    <mergeCell ref="E35:F35"/>
    <mergeCell ref="U32:V32"/>
    <mergeCell ref="K33:L33"/>
    <mergeCell ref="N33:P33"/>
    <mergeCell ref="Q33:R33"/>
    <mergeCell ref="S33:T33"/>
    <mergeCell ref="U33:V33"/>
    <mergeCell ref="U36:V36"/>
    <mergeCell ref="U37:V37"/>
    <mergeCell ref="U34:V34"/>
    <mergeCell ref="Q35:R35"/>
    <mergeCell ref="S35:T35"/>
    <mergeCell ref="E44:F44"/>
    <mergeCell ref="E45:F45"/>
    <mergeCell ref="E36:F36"/>
    <mergeCell ref="E37:F37"/>
    <mergeCell ref="E38:F38"/>
    <mergeCell ref="E39:F39"/>
    <mergeCell ref="E40:F40"/>
    <mergeCell ref="I45:J45"/>
    <mergeCell ref="I46:J46"/>
    <mergeCell ref="I37:J37"/>
    <mergeCell ref="I38:J38"/>
    <mergeCell ref="I39:J39"/>
    <mergeCell ref="I40:J40"/>
    <mergeCell ref="I41:J41"/>
    <mergeCell ref="I42:J42"/>
    <mergeCell ref="E41:F41"/>
    <mergeCell ref="E42:F42"/>
    <mergeCell ref="E43:F43"/>
    <mergeCell ref="N16:W16"/>
    <mergeCell ref="N9:W9"/>
    <mergeCell ref="N11:W11"/>
    <mergeCell ref="N13:W13"/>
    <mergeCell ref="N14:W14"/>
    <mergeCell ref="N15:W15"/>
    <mergeCell ref="N12:Q12"/>
    <mergeCell ref="D27:D28"/>
    <mergeCell ref="E27:F28"/>
    <mergeCell ref="G27:H28"/>
    <mergeCell ref="I27:R28"/>
    <mergeCell ref="S27:V28"/>
    <mergeCell ref="N18:W18"/>
    <mergeCell ref="N19:W19"/>
    <mergeCell ref="N20:W20"/>
    <mergeCell ref="N17:P17"/>
    <mergeCell ref="N21:W21"/>
    <mergeCell ref="A78:D78"/>
    <mergeCell ref="E78:J78"/>
    <mergeCell ref="U29:V29"/>
    <mergeCell ref="E30:F30"/>
    <mergeCell ref="I30:J30"/>
    <mergeCell ref="K30:L30"/>
    <mergeCell ref="N30:P30"/>
    <mergeCell ref="Q30:R30"/>
    <mergeCell ref="S30:T30"/>
    <mergeCell ref="U30:V30"/>
    <mergeCell ref="E29:F29"/>
    <mergeCell ref="I29:J29"/>
    <mergeCell ref="K29:L29"/>
    <mergeCell ref="N29:P29"/>
    <mergeCell ref="Q29:R29"/>
    <mergeCell ref="S29:T29"/>
    <mergeCell ref="E48:F48"/>
    <mergeCell ref="E49:F49"/>
    <mergeCell ref="I31:J31"/>
    <mergeCell ref="I32:J32"/>
    <mergeCell ref="I33:J33"/>
    <mergeCell ref="I34:J34"/>
    <mergeCell ref="I35:J35"/>
    <mergeCell ref="I36:J36"/>
    <mergeCell ref="K78:P78"/>
    <mergeCell ref="Q78:T78"/>
    <mergeCell ref="I106:P106"/>
    <mergeCell ref="K62:L62"/>
    <mergeCell ref="O62:Q62"/>
    <mergeCell ref="A63:D63"/>
    <mergeCell ref="H63:I63"/>
    <mergeCell ref="A77:D77"/>
    <mergeCell ref="E77:J77"/>
    <mergeCell ref="K77:P77"/>
    <mergeCell ref="Q77:T77"/>
    <mergeCell ref="A69:W73"/>
    <mergeCell ref="U77:X77"/>
    <mergeCell ref="A76:D76"/>
    <mergeCell ref="E76:J76"/>
    <mergeCell ref="K76:P76"/>
    <mergeCell ref="Q76:T76"/>
    <mergeCell ref="U76:X76"/>
    <mergeCell ref="U78:X78"/>
    <mergeCell ref="N89:W89"/>
    <mergeCell ref="I102:P102"/>
    <mergeCell ref="I103:P103"/>
    <mergeCell ref="I104:P104"/>
    <mergeCell ref="A62:D62"/>
  </mergeCells>
  <conditionalFormatting sqref="A96">
    <cfRule type="cellIs" priority="1" operator="equal">
      <formula>$D$24</formula>
    </cfRule>
  </conditionalFormatting>
  <conditionalFormatting sqref="A97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9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I102:P102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558"/>
  <sheetViews>
    <sheetView topLeftCell="A52" zoomScale="70" zoomScaleNormal="70" workbookViewId="0">
      <selection activeCell="C63" sqref="C63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31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54.10937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datos!G22</f>
        <v>Hierro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 t="s">
        <v>25</v>
      </c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x14ac:dyDescent="0.25">
      <c r="B5" s="11" t="s">
        <v>116</v>
      </c>
      <c r="C5" s="788">
        <v>45233</v>
      </c>
      <c r="D5" s="789"/>
      <c r="E5" s="790"/>
      <c r="G5" s="176">
        <v>16</v>
      </c>
      <c r="H5" s="140" t="s">
        <v>151</v>
      </c>
      <c r="I5" s="569" t="str">
        <f>datos!C14</f>
        <v>N/A</v>
      </c>
      <c r="J5" s="569" t="str">
        <f>datos!C15</f>
        <v>N/A</v>
      </c>
      <c r="K5" s="569" t="str">
        <f>datos!C16</f>
        <v>N/A</v>
      </c>
      <c r="L5" s="569" t="str">
        <f>datos!C17</f>
        <v>N/A</v>
      </c>
      <c r="M5" s="569" t="str">
        <f>datos!C18</f>
        <v>N/A</v>
      </c>
      <c r="N5" s="569" t="str">
        <f>datos!C19</f>
        <v>N/A</v>
      </c>
      <c r="O5" s="569" t="str">
        <f>datos!C20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484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 t="s">
        <v>481</v>
      </c>
      <c r="D6" s="769"/>
      <c r="E6" s="770"/>
      <c r="G6" s="141"/>
      <c r="H6" s="180"/>
      <c r="I6" s="569" t="str">
        <f>datos!C14</f>
        <v>N/A</v>
      </c>
      <c r="J6" s="569" t="str">
        <f>datos!C15</f>
        <v>N/A</v>
      </c>
      <c r="K6" s="569" t="str">
        <f>datos!C16</f>
        <v>N/A</v>
      </c>
      <c r="L6" s="569" t="str">
        <f>datos!C17</f>
        <v>N/A</v>
      </c>
      <c r="M6" s="569" t="str">
        <f>datos!C18</f>
        <v>N/A</v>
      </c>
      <c r="N6" s="569" t="str">
        <f>datos!C19</f>
        <v>N/A</v>
      </c>
      <c r="O6" s="569" t="str">
        <f>datos!C20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49.393406593406596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</f>
        <v>20000</v>
      </c>
      <c r="D7" s="118" t="str">
        <f>datos!F22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566">
        <f>IF(I6="N/A",0,VLOOKUP(I6,$I$93:$Z$396,4,FALSE))*1000</f>
        <v>0</v>
      </c>
      <c r="J7" s="566">
        <f t="shared" ref="J7:O7" si="0">IF(J6="N/A",0,VLOOKUP(J6,$I$93:$Z$396,4,FALSE))*1000</f>
        <v>0</v>
      </c>
      <c r="K7" s="566">
        <f t="shared" si="0"/>
        <v>0</v>
      </c>
      <c r="L7" s="566">
        <f t="shared" si="0"/>
        <v>0</v>
      </c>
      <c r="M7" s="566">
        <f t="shared" si="0"/>
        <v>0</v>
      </c>
      <c r="N7" s="566">
        <f t="shared" si="0"/>
        <v>0</v>
      </c>
      <c r="O7" s="566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20.299199999999999</v>
      </c>
      <c r="AD7" s="192">
        <f>C31</f>
        <v>49.298901098901098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7800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567">
        <f>IF(I6="N/A",0,VLOOKUP(I6,$I$93:$Z$396,5,FALSE))</f>
        <v>0</v>
      </c>
      <c r="J8" s="567">
        <f t="shared" ref="J8:O8" si="1">IF(J6="N/A",0,VLOOKUP(J6,$I$93:$Z$396,5,FALSE))</f>
        <v>0</v>
      </c>
      <c r="K8" s="567">
        <f t="shared" si="1"/>
        <v>0</v>
      </c>
      <c r="L8" s="567">
        <f t="shared" si="1"/>
        <v>0</v>
      </c>
      <c r="M8" s="567">
        <f t="shared" si="1"/>
        <v>0</v>
      </c>
      <c r="N8" s="567">
        <f t="shared" si="1"/>
        <v>0</v>
      </c>
      <c r="O8" s="567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192">
        <f>AVERAGE(AC6:AC7)</f>
        <v>20.393999999999998</v>
      </c>
      <c r="AD8" s="366">
        <f>AVERAGE(AD6:AD7)</f>
        <v>49.346153846153847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567">
        <f>IF(I6="N/A",0,VLOOKUP(I6,$I$93:$Z$396,7,FALSE))</f>
        <v>0</v>
      </c>
      <c r="J9" s="567">
        <f t="shared" ref="J9:O9" si="2">IF(J6="N/A",0,VLOOKUP(J6,$I$93:$Z$396,7,FALSE))</f>
        <v>0</v>
      </c>
      <c r="K9" s="567">
        <f t="shared" si="2"/>
        <v>0</v>
      </c>
      <c r="L9" s="567">
        <f t="shared" si="2"/>
        <v>0</v>
      </c>
      <c r="M9" s="567">
        <f t="shared" si="2"/>
        <v>0</v>
      </c>
      <c r="N9" s="567">
        <f t="shared" si="2"/>
        <v>0</v>
      </c>
      <c r="O9" s="56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566">
        <f>IF(I6="N/A",0,VLOOKUP(I6,$I$93:$Z$396,15,FALSE))</f>
        <v>0</v>
      </c>
      <c r="J10" s="566">
        <f t="shared" ref="J10:O10" si="3">IF(J6="N/A",0,VLOOKUP(J6,$I$93:$Z$396,15,FALSE))</f>
        <v>0</v>
      </c>
      <c r="K10" s="566">
        <f t="shared" si="3"/>
        <v>0</v>
      </c>
      <c r="L10" s="566">
        <f t="shared" si="3"/>
        <v>0</v>
      </c>
      <c r="M10" s="566">
        <f t="shared" si="3"/>
        <v>0</v>
      </c>
      <c r="N10" s="566">
        <f t="shared" si="3"/>
        <v>0</v>
      </c>
      <c r="O10" s="566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485</v>
      </c>
      <c r="BU10" s="289"/>
    </row>
    <row r="11" spans="2:73" ht="14.4" customHeight="1" x14ac:dyDescent="0.25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566">
        <f>IF(I6="N/A",0,VLOOKUP(I6,$I$93:$Z$396,16,FALSE))</f>
        <v>0</v>
      </c>
      <c r="J11" s="566">
        <f t="shared" ref="J11:O11" si="4">IF(J6="N/A",0,VLOOKUP(J6,$I$93:$Z$396,16,FALSE))</f>
        <v>0</v>
      </c>
      <c r="K11" s="566">
        <f t="shared" si="4"/>
        <v>0</v>
      </c>
      <c r="L11" s="566">
        <f t="shared" si="4"/>
        <v>0</v>
      </c>
      <c r="M11" s="566">
        <f t="shared" si="4"/>
        <v>0</v>
      </c>
      <c r="N11" s="566">
        <f t="shared" si="4"/>
        <v>0</v>
      </c>
      <c r="O11" s="566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1.1831159999743435</v>
      </c>
      <c r="BN11" s="368" t="s">
        <v>486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568">
        <f>IF(I6="N/A",0,VLOOKUP(I6,$I$93:$Z$396,9,FALSE))</f>
        <v>0</v>
      </c>
      <c r="J12" s="568">
        <f t="shared" ref="J12:O12" si="5">IF(J6="N/A",0,VLOOKUP(J6,$I$93:$Z$396,9,FALSE))</f>
        <v>0</v>
      </c>
      <c r="K12" s="568">
        <f t="shared" si="5"/>
        <v>0</v>
      </c>
      <c r="L12" s="568">
        <f t="shared" si="5"/>
        <v>0</v>
      </c>
      <c r="M12" s="568">
        <f t="shared" si="5"/>
        <v>0</v>
      </c>
      <c r="N12" s="568">
        <f t="shared" si="5"/>
        <v>0</v>
      </c>
      <c r="O12" s="568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568">
        <f>IF(I6="N/A",0,VLOOKUP(I6,$I$93:$Z$396,17,FALSE))</f>
        <v>0</v>
      </c>
      <c r="J13" s="568">
        <f t="shared" ref="J13:O13" si="6">IF(J6="N/A",0,VLOOKUP(J6,$I$93:$Z$396,17,FALSE))</f>
        <v>0</v>
      </c>
      <c r="K13" s="568">
        <f t="shared" si="6"/>
        <v>0</v>
      </c>
      <c r="L13" s="568">
        <f t="shared" si="6"/>
        <v>0</v>
      </c>
      <c r="M13" s="568">
        <f t="shared" si="6"/>
        <v>0</v>
      </c>
      <c r="N13" s="568">
        <f t="shared" si="6"/>
        <v>0</v>
      </c>
      <c r="O13" s="568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568">
        <f>IF(I6="N/A",0,VLOOKUP(I6,$I$93:$Z$396,18,FALSE))</f>
        <v>0</v>
      </c>
      <c r="J14" s="568">
        <f t="shared" ref="J14:O14" si="7">IF(J6="N/A",0,VLOOKUP(J6,$I$93:$Z$396,18,FALSE))</f>
        <v>0</v>
      </c>
      <c r="K14" s="568">
        <f t="shared" si="7"/>
        <v>0</v>
      </c>
      <c r="L14" s="568">
        <f t="shared" si="7"/>
        <v>0</v>
      </c>
      <c r="M14" s="568">
        <f t="shared" si="7"/>
        <v>0</v>
      </c>
      <c r="N14" s="568">
        <f t="shared" si="7"/>
        <v>0</v>
      </c>
      <c r="O14" s="568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49.393406593406596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5.6" thickTop="1" x14ac:dyDescent="0.25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568">
        <f>IF(I6="N/A",0,VLOOKUP(I6,$I$93:$Z$396,3,FALSE))</f>
        <v>0</v>
      </c>
      <c r="J15" s="568">
        <f t="shared" ref="J15:O15" si="8">IF(J6="N/A",0,VLOOKUP(J6,$I$93:$Z$396,3,FALSE))</f>
        <v>0</v>
      </c>
      <c r="K15" s="568">
        <f t="shared" si="8"/>
        <v>0</v>
      </c>
      <c r="L15" s="568">
        <f t="shared" si="8"/>
        <v>0</v>
      </c>
      <c r="M15" s="568">
        <f t="shared" si="8"/>
        <v>0</v>
      </c>
      <c r="N15" s="568">
        <f t="shared" si="8"/>
        <v>0</v>
      </c>
      <c r="O15" s="568">
        <f t="shared" si="8"/>
        <v>0</v>
      </c>
      <c r="W15" s="289"/>
      <c r="X15" s="366" t="s">
        <v>225</v>
      </c>
      <c r="Y15" s="366">
        <f>AC8</f>
        <v>20.393999999999998</v>
      </c>
      <c r="Z15" s="368" t="s">
        <v>7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20.299199999999999</v>
      </c>
      <c r="AZ15" s="368" t="s">
        <v>7</v>
      </c>
      <c r="BA15" s="477">
        <f>AVERAGE(AY14:AY15)</f>
        <v>20.393999999999998</v>
      </c>
      <c r="BB15" s="181"/>
      <c r="BC15" s="175"/>
      <c r="BD15" s="378"/>
      <c r="BE15" s="366" t="s">
        <v>492</v>
      </c>
      <c r="BF15" s="477">
        <f>MIN(AD6:AD7)</f>
        <v>49.298901098901098</v>
      </c>
      <c r="BG15" s="368" t="s">
        <v>42</v>
      </c>
      <c r="BH15" s="478">
        <f>AVERAGE(BF14:BF15)</f>
        <v>49.346153846153847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" x14ac:dyDescent="0.25">
      <c r="B16" s="10" t="s">
        <v>124</v>
      </c>
      <c r="C16" s="785" t="str">
        <f>datos!H22</f>
        <v>NI-MCBAL-02</v>
      </c>
      <c r="D16" s="786"/>
      <c r="E16" s="787"/>
      <c r="G16" s="144">
        <v>16</v>
      </c>
      <c r="H16" s="148" t="s">
        <v>36</v>
      </c>
      <c r="I16" s="568">
        <f>IF(I6="N/A",0,VLOOKUP(I6,$I$93:$Z$396,14,FALSE))</f>
        <v>0</v>
      </c>
      <c r="J16" s="568">
        <f t="shared" ref="J16:O16" si="9">IF(J6="N/A",0,VLOOKUP(J6,$I$93:$Z$396,14,FALSE))</f>
        <v>0</v>
      </c>
      <c r="K16" s="568">
        <f t="shared" si="9"/>
        <v>0</v>
      </c>
      <c r="L16" s="568">
        <f t="shared" si="9"/>
        <v>0</v>
      </c>
      <c r="M16" s="568">
        <f t="shared" si="9"/>
        <v>0</v>
      </c>
      <c r="N16" s="568">
        <f t="shared" si="9"/>
        <v>0</v>
      </c>
      <c r="O16" s="568">
        <f t="shared" si="9"/>
        <v>0</v>
      </c>
      <c r="W16" s="289"/>
      <c r="X16" s="366" t="s">
        <v>241</v>
      </c>
      <c r="Y16" s="366">
        <f>Y15^2</f>
        <v>415.91523599999994</v>
      </c>
      <c r="Z16" s="368" t="s">
        <v>7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251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493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293.54399999999998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2.6028551999435556E-5</v>
      </c>
      <c r="BN16" s="289"/>
      <c r="BO16" s="181"/>
      <c r="BP16" s="175"/>
      <c r="BQ16" s="175"/>
      <c r="BR16" s="175"/>
      <c r="BS16" s="175"/>
      <c r="BT16" s="772" t="s">
        <v>494</v>
      </c>
      <c r="BU16" s="408">
        <v>3.3999999999999998E-3</v>
      </c>
    </row>
    <row r="17" spans="2:73" ht="17.25" customHeight="1" x14ac:dyDescent="0.25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229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" x14ac:dyDescent="0.25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495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415.91523599999994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482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293.54399999999998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293.54399999999998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" x14ac:dyDescent="0.25">
      <c r="B20" s="16" t="s">
        <v>483</v>
      </c>
      <c r="C20" s="128">
        <v>0</v>
      </c>
      <c r="D20" s="131"/>
      <c r="E20" s="132"/>
      <c r="W20" s="289"/>
      <c r="X20" s="366" t="s">
        <v>496</v>
      </c>
      <c r="Y20" s="366">
        <f>Y19^2</f>
        <v>86168.079935999995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1.0039961121921601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497</v>
      </c>
      <c r="BU20" s="408"/>
    </row>
    <row r="21" spans="2:73" ht="17.25" customHeight="1" thickBot="1" x14ac:dyDescent="0.3">
      <c r="B21" s="10" t="s">
        <v>140</v>
      </c>
      <c r="C21" s="133"/>
      <c r="D21" s="127"/>
      <c r="E21" s="134"/>
      <c r="W21" s="289"/>
      <c r="X21" s="366" t="s">
        <v>498</v>
      </c>
      <c r="Y21" s="369">
        <v>1.58123E-6</v>
      </c>
      <c r="Z21" s="368" t="s">
        <v>499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2396.8701353970478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25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500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501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" x14ac:dyDescent="0.25">
      <c r="B23" s="10" t="s">
        <v>125</v>
      </c>
      <c r="C23" s="757" t="str">
        <f>datos!I22</f>
        <v>NI-MCPPT-06</v>
      </c>
      <c r="D23" s="758"/>
      <c r="E23" s="759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569" t="str">
        <f>datos!D21</f>
        <v>NI-MCPM-JM-02 (200mg)</v>
      </c>
      <c r="W23" s="289"/>
      <c r="X23" s="366" t="s">
        <v>502</v>
      </c>
      <c r="Y23" s="370">
        <v>1.1043E-10</v>
      </c>
      <c r="Z23" s="368" t="s">
        <v>503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25">
      <c r="B24" s="10" t="s">
        <v>141</v>
      </c>
      <c r="C24" s="120">
        <f>VLOOKUP(I332,I336:U343,4,FALSE)</f>
        <v>0.1</v>
      </c>
      <c r="D24" s="127"/>
      <c r="E24" s="123"/>
      <c r="I24" s="162" t="str">
        <f>datos!C24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504</v>
      </c>
      <c r="Y24" s="371">
        <v>5.7069999999999997E-6</v>
      </c>
      <c r="Z24" s="368" t="s">
        <v>499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3.8701937935974672E-2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1.9290853285655725E-2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25">
      <c r="B25" s="11" t="s">
        <v>142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datos!C25</f>
        <v>20000</v>
      </c>
      <c r="J25" s="78">
        <f>datos!D25</f>
        <v>20000.099999999999</v>
      </c>
      <c r="K25" s="78">
        <f>datos!E25</f>
        <v>20000.2</v>
      </c>
      <c r="L25" s="78">
        <f>datos!F25</f>
        <v>20000.3</v>
      </c>
      <c r="M25" s="168">
        <f>((J25-I25)+(K25-L25))/2</f>
        <v>0</v>
      </c>
      <c r="N25" s="167">
        <f>IF($M$24="mg",(($R$24+$R$25)/(K25-J25))*(1-(($AF$48-1.2)/$R$27)),IF($M$24="g",(($R$24+$R$25)/(K25-J25))*(1-(($AF$48-1.2)/$R$27))/1000,IF($M$24="kg",(($R$24+$R$25)/(K25-J25))*(1-(($AF$48-1.2)/$R$27))/1000000,"Error")))</f>
        <v>2.0000044075038601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505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506</v>
      </c>
      <c r="BU25" s="408"/>
    </row>
    <row r="26" spans="2:73" ht="14.4" customHeight="1" thickBot="1" x14ac:dyDescent="0.3">
      <c r="B26" s="11" t="s">
        <v>143</v>
      </c>
      <c r="C26" s="138">
        <f>IF(I332="NI-MCPPT-01",N352+O352,IF(I332="NI-MCPPT-02",N406+O406,IF(I332="NI-MCPPT-06",N459+O459," Error ")))</f>
        <v>20.299199999999999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>
        <f>AVERAGE(C25:C26)</f>
        <v>20.393999999999998</v>
      </c>
      <c r="I26" s="78">
        <f>datos!C26</f>
        <v>20000</v>
      </c>
      <c r="J26" s="78">
        <f>datos!D26</f>
        <v>20000.099999999999</v>
      </c>
      <c r="K26" s="78">
        <f>datos!E26</f>
        <v>20000.2</v>
      </c>
      <c r="L26" s="78">
        <f>datos!F26</f>
        <v>20000.3</v>
      </c>
      <c r="M26" s="169">
        <f>((J26-I26)+(K26-L26))/2</f>
        <v>0</v>
      </c>
      <c r="N26" s="167">
        <f>IF($M$24="mg",(($R$24+$R$25)/(K26-J26))*(1-(($AF$48-1.2)/$R$27)),IF($M$24="g",(($R$24+$R$25)/(K26-J26))*(1-(($AF$48-1.2)/$R$27))/1000,IF($M$24="kg",(($R$24+$R$25)/(K26-J26))*(1-(($AF$48-1.2)/$R$27))/1000000,"Error")))</f>
        <v>2.0000044075038601</v>
      </c>
      <c r="P26" s="253">
        <v>6</v>
      </c>
      <c r="Q26" s="255" t="s">
        <v>134</v>
      </c>
      <c r="R26" s="574">
        <f>(VLOOKUP(R23,$I$93:$Z$396,7,FALSE))</f>
        <v>1.4E-5</v>
      </c>
      <c r="W26" s="289"/>
      <c r="X26" s="366" t="s">
        <v>507</v>
      </c>
      <c r="Y26" s="370">
        <v>1.9898E-4</v>
      </c>
      <c r="Z26" s="368" t="s">
        <v>499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4.4" thickTop="1" x14ac:dyDescent="0.25">
      <c r="B27" s="754" t="s">
        <v>189</v>
      </c>
      <c r="C27" s="755"/>
      <c r="D27" s="755"/>
      <c r="E27" s="756"/>
      <c r="I27" s="78">
        <f>datos!C27</f>
        <v>20000</v>
      </c>
      <c r="J27" s="78">
        <f>datos!D27</f>
        <v>20000.099999999999</v>
      </c>
      <c r="K27" s="78">
        <f>datos!E27</f>
        <v>20000.2</v>
      </c>
      <c r="L27" s="78">
        <f>datos!F27</f>
        <v>20000.3</v>
      </c>
      <c r="M27" s="169">
        <f>((J27-I27)+(K27-L27))/2</f>
        <v>0</v>
      </c>
      <c r="N27" s="167">
        <f>IF($M$24="mg",(($R$24+$R$25)/(K27-J27))*(1-(($AF$48-1.2)/$R$27)),IF($M$24="g",(($R$24+$R$25)/(K27-J27))*(1-(($AF$48-1.2)/$R$27))/1000,IF($M$24="kg",(($R$24+$R$25)/(K27-J27))*(1-(($AF$48-1.2)/$R$27))/1000000,"Error")))</f>
        <v>2.0000044075038601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508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25">
      <c r="B28" s="10" t="s">
        <v>126</v>
      </c>
      <c r="C28" s="757" t="str">
        <f>datos!I22</f>
        <v>NI-MCPPT-06</v>
      </c>
      <c r="D28" s="758"/>
      <c r="E28" s="759"/>
      <c r="I28" s="78">
        <f>datos!C28</f>
        <v>20000</v>
      </c>
      <c r="J28" s="78">
        <f>datos!D28</f>
        <v>20000.099999999999</v>
      </c>
      <c r="K28" s="78">
        <f>datos!E28</f>
        <v>20000.2</v>
      </c>
      <c r="L28" s="78">
        <f>datos!F28</f>
        <v>20000.3</v>
      </c>
      <c r="M28" s="169">
        <f>IF(L28="No aplica"," ",   ((J28-I28)+(K28-L28))/2)</f>
        <v>0</v>
      </c>
      <c r="N28" s="167">
        <f>IF($M$24="mg",(($R$24+$R$25)/(K28-J28))*(1-(($AF$48-1.2)/$R$27)),IF($M$24="g",(($R$24+$R$25)/(K28-J28))*(1-(($AF$48-1.2)/$R$27))/1000,IF($M$24="kg",(($R$24+$R$25)/(K28-J28))*(1-(($AF$48-1.2)/$R$27))/1000000,"Error")))</f>
        <v>2.0000044075038601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509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0.21547893941945548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0.65092662440080151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">
      <c r="B29" s="10" t="s">
        <v>144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470</v>
      </c>
      <c r="N29" s="171">
        <f>STDEV(N25:N28)</f>
        <v>0</v>
      </c>
      <c r="P29" s="256">
        <v>11</v>
      </c>
      <c r="Q29" s="257" t="s">
        <v>153</v>
      </c>
      <c r="R29" s="574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510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6.5092662440080148E-3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145</v>
      </c>
      <c r="C30" s="138">
        <f>IF(I332="NI-MCPPT-01",I370+J370,IF(I332="NI-MCPPT-02",I424+J424,IF(I332="NI-MCPPT-06",I477+J477," Error ")))</f>
        <v>49.393406593406596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177</v>
      </c>
      <c r="N30" s="171">
        <f>N29/SQRT(COUNT(N25:N28))</f>
        <v>0</v>
      </c>
      <c r="P30" s="256">
        <v>13</v>
      </c>
      <c r="Q30" s="257" t="s">
        <v>154</v>
      </c>
      <c r="R30" s="57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146</v>
      </c>
      <c r="C31" s="138">
        <f>IF(I332="NI-MCPPT-01",N370+O370,IF(I332="NI-MCPPT-02",N424+O424,IF(I332="NI-MCPPT-06",N477+O477," Error ")))</f>
        <v>49.298901098901098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>
        <f>AVERAGE(C30:C31)</f>
        <v>49.346153846153847</v>
      </c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-20000</v>
      </c>
      <c r="N31" s="27" t="str">
        <f>M24</f>
        <v>g</v>
      </c>
      <c r="P31" s="258">
        <v>14</v>
      </c>
      <c r="Q31" s="259" t="s">
        <v>155</v>
      </c>
      <c r="R31" s="573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0.99962249094867395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-0.14229615647347091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datos!I22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511</v>
      </c>
      <c r="BU33" s="131"/>
    </row>
    <row r="34" spans="2:73" ht="16.2" thickTop="1" thickBot="1" x14ac:dyDescent="0.3">
      <c r="B34" s="10" t="s">
        <v>147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148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512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149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>
        <f>AVERAGE(C35:C36)</f>
        <v>100101.9</v>
      </c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0.21547893941945548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513</v>
      </c>
      <c r="S37" s="359" t="s">
        <v>513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0.99962249094867395</v>
      </c>
      <c r="AS37" s="368"/>
      <c r="AT37" s="181"/>
      <c r="AU37" s="175"/>
      <c r="AV37" s="378"/>
      <c r="AW37" s="366" t="s">
        <v>288</v>
      </c>
      <c r="AX37" s="405">
        <f>BH29</f>
        <v>6.5092662440080148E-3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543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514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2.6028551999435556E-5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2" thickBot="1" x14ac:dyDescent="0.3">
      <c r="B39" s="761"/>
      <c r="C39" s="21">
        <f>IF(D7="mg",C7,IF(D7="g",C7*1000,IF(D7="kg",C7*1000000,IF(D7="lb",(C7/2.20462)*1000000,IF(D7="oz",C7*28349.5)))))</f>
        <v>20000000</v>
      </c>
      <c r="D39" s="22" t="s">
        <v>119</v>
      </c>
      <c r="E39" s="292" t="s">
        <v>129</v>
      </c>
      <c r="P39" s="362" t="s">
        <v>199</v>
      </c>
      <c r="Q39" s="362" t="s">
        <v>515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293.54399999999998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20000000</v>
      </c>
      <c r="D40" s="762"/>
      <c r="E40" s="23" t="s">
        <v>119</v>
      </c>
      <c r="P40" s="362" t="s">
        <v>201</v>
      </c>
      <c r="Q40" s="362" t="s">
        <v>516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0.49346153846153845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1.186280858852258E-2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2" thickBot="1" x14ac:dyDescent="0.3">
      <c r="P41" s="362" t="s">
        <v>203</v>
      </c>
      <c r="Q41" s="362" t="s">
        <v>517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1.0039961121921601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2" thickBot="1" x14ac:dyDescent="0.3">
      <c r="P42" s="362" t="s">
        <v>205</v>
      </c>
      <c r="Q42" s="362" t="s">
        <v>518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2396.8701353970478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0.99962249094867395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1.0039961121921601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2" thickBot="1" x14ac:dyDescent="0.3">
      <c r="L43" s="290" t="s">
        <v>519</v>
      </c>
      <c r="P43" s="362" t="s">
        <v>207</v>
      </c>
      <c r="Q43" s="362" t="s">
        <v>520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2396.8701353970478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8.4" thickBot="1" x14ac:dyDescent="0.3">
      <c r="L44" s="290"/>
      <c r="P44" s="362" t="s">
        <v>209</v>
      </c>
      <c r="Q44" s="362" t="s">
        <v>521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293.54399999999998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2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522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1.186280858852258E-2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1.186280858852258E-2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523</v>
      </c>
      <c r="R46" s="365">
        <v>2700</v>
      </c>
      <c r="S46" s="365">
        <v>130</v>
      </c>
      <c r="T46" s="364" t="s">
        <v>213</v>
      </c>
      <c r="W46" s="289"/>
      <c r="X46" s="191" t="s">
        <v>524</v>
      </c>
      <c r="Y46" s="390">
        <f>Y45^2</f>
        <v>1.4072622760792508E-4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1.1831159999743435E-5</v>
      </c>
      <c r="AT46" s="181"/>
      <c r="AU46" s="175"/>
      <c r="AV46" s="378"/>
      <c r="AW46" s="723">
        <f>SQRT((AS46*AX35)^2+(AS49*AX36)^2+(AS52*AX37)^2+(AX38^2)+(AS57*BR41)^2)</f>
        <v>9.3518680002935392E-4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525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-20000000</v>
      </c>
      <c r="D48" s="704" t="s">
        <v>339</v>
      </c>
      <c r="E48" s="705"/>
      <c r="F48" s="315">
        <f>(1/(1-(C52-1.2)/C54))</f>
        <v>0.99999783538929776</v>
      </c>
      <c r="G48" s="704" t="s">
        <v>345</v>
      </c>
      <c r="H48" s="705"/>
      <c r="I48" s="316">
        <f>M32/SQRT(COUNT(M25:M28))</f>
        <v>0</v>
      </c>
      <c r="J48" s="317">
        <f>+F48*I48</f>
        <v>0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1.1831159999743435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526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4.0225943999127678E-3</v>
      </c>
      <c r="AT49" s="181"/>
      <c r="AU49" s="175"/>
      <c r="AV49" s="366">
        <f>AW46*2</f>
        <v>1.8703736000587078E-3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>
        <f>AVERAGE(N25:N28)</f>
        <v>2.0000044075038601</v>
      </c>
      <c r="D50" s="733" t="s">
        <v>340</v>
      </c>
      <c r="E50" s="733"/>
      <c r="F50" s="322">
        <f>(1/(1-(C52-1.2)/C54))</f>
        <v>0.99999783538929776</v>
      </c>
      <c r="G50" s="734" t="s">
        <v>347</v>
      </c>
      <c r="H50" s="735"/>
      <c r="I50" s="323">
        <f>N30</f>
        <v>0</v>
      </c>
      <c r="J50" s="324">
        <f>F50*I50</f>
        <v>0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1.1831159999743435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9.3518680002935392E-4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-1.1831159999743435E-2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1.8703736000587078E-3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527</v>
      </c>
      <c r="C54" s="334">
        <f>C8</f>
        <v>7800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528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-0.14229615647347091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6.2" x14ac:dyDescent="0.35">
      <c r="B67" s="276" t="s">
        <v>529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530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20000000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537</v>
      </c>
      <c r="AG94" s="683"/>
      <c r="AH94" s="683"/>
      <c r="AI94" s="683"/>
      <c r="AJ94" s="683"/>
      <c r="AK94" s="683"/>
      <c r="AL94" s="683"/>
      <c r="AM94" s="683"/>
      <c r="AQ94" s="683" t="s">
        <v>537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538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538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30</v>
      </c>
      <c r="AH97" s="1">
        <f>IF($AF$90=AF97,AT97,AH98)</f>
        <v>100</v>
      </c>
      <c r="AI97" s="1">
        <f>IF($AF$90=AF97,AU97,AI98)</f>
        <v>300</v>
      </c>
      <c r="AJ97" s="1">
        <f>IF($AF$90=AF97,AV97,AJ98)</f>
        <v>1000</v>
      </c>
      <c r="AK97" s="1">
        <f>IF($AF$90=AF97,AW97,AK98)</f>
        <v>3000</v>
      </c>
      <c r="AL97" s="1">
        <f>IF($AF$90=AF97,AX97,AL98)</f>
        <v>10000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30</v>
      </c>
      <c r="AH98" s="1">
        <f t="shared" ref="AH98:AH120" si="12">IF($AF$90=AF98,AT98,AH99)</f>
        <v>100</v>
      </c>
      <c r="AI98" s="1">
        <f t="shared" ref="AI98:AI120" si="13">IF($AF$90=AF98,AU98,AI99)</f>
        <v>300</v>
      </c>
      <c r="AJ98" s="1">
        <f t="shared" ref="AJ98:AJ120" si="14">IF($AF$90=AF98,AV98,AJ99)</f>
        <v>1000</v>
      </c>
      <c r="AK98" s="1">
        <f t="shared" ref="AK98:AK120" si="15">IF($AF$90=AF98,AW98,AK99)</f>
        <v>3000</v>
      </c>
      <c r="AL98" s="1">
        <f t="shared" ref="AL98:AL120" si="16">IF($AF$90=AF98,AX98,AL99)</f>
        <v>10000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>($AF$90-(AG97-$C$64))</f>
        <v>#DIV/0!</v>
      </c>
      <c r="AH124" s="217" t="e">
        <f t="shared" ref="AH124:AL124" si="17">($AF$90-(AH97-$C$64))</f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10</v>
      </c>
      <c r="AP124" s="216">
        <f t="shared" ref="AP124:AT124" si="18">AH97/3</f>
        <v>33.333333333333336</v>
      </c>
      <c r="AQ124" s="216">
        <f t="shared" si="18"/>
        <v>100</v>
      </c>
      <c r="AR124" s="216">
        <f t="shared" si="18"/>
        <v>333.33333333333331</v>
      </c>
      <c r="AS124" s="216">
        <f t="shared" si="18"/>
        <v>1000</v>
      </c>
      <c r="AT124" s="216">
        <f t="shared" si="18"/>
        <v>3333.3333333333335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4.4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4.4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4.4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4.4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4.4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4.4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4.4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4.4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4.4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4.4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4.4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74">
        <v>9.9999999999999991E-6</v>
      </c>
      <c r="AH171" s="174">
        <f>AF171*1000</f>
        <v>9.9999999999999985E-3</v>
      </c>
    </row>
    <row r="172" spans="8:34" ht="14.4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74">
        <v>1.3333333333333333E-5</v>
      </c>
      <c r="AH172" s="174">
        <f t="shared" ref="AH172:AH235" si="20">AF172*1000</f>
        <v>1.3333333333333332E-2</v>
      </c>
    </row>
    <row r="173" spans="8:34" ht="14.4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74">
        <v>1.6666666666666667E-5</v>
      </c>
      <c r="AH173" s="174">
        <f t="shared" si="20"/>
        <v>1.6666666666666666E-2</v>
      </c>
    </row>
    <row r="174" spans="8:34" ht="14.4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74">
        <v>1.9999999999999998E-5</v>
      </c>
      <c r="AH174" s="174">
        <f t="shared" si="20"/>
        <v>1.9999999999999997E-2</v>
      </c>
    </row>
    <row r="175" spans="8:34" ht="14.4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74">
        <v>2.6666666666666667E-5</v>
      </c>
      <c r="AH175" s="174">
        <f t="shared" si="20"/>
        <v>2.6666666666666665E-2</v>
      </c>
    </row>
    <row r="176" spans="8:34" ht="14.4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74">
        <v>3.3333333333333335E-5</v>
      </c>
      <c r="AH176" s="174">
        <f t="shared" si="20"/>
        <v>3.3333333333333333E-2</v>
      </c>
    </row>
    <row r="177" spans="8:34" ht="14.4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74">
        <v>3.9999999999999996E-5</v>
      </c>
      <c r="AH177" s="174">
        <f t="shared" si="20"/>
        <v>3.9999999999999994E-2</v>
      </c>
    </row>
    <row r="178" spans="8:34" ht="14.4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74">
        <v>0.04</v>
      </c>
      <c r="AH178" s="174">
        <v>0.04</v>
      </c>
    </row>
    <row r="179" spans="8:34" ht="14.4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74">
        <v>3.9999999999999996E-5</v>
      </c>
      <c r="AH179" s="174">
        <f t="shared" si="20"/>
        <v>3.9999999999999994E-2</v>
      </c>
    </row>
    <row r="180" spans="8:34" ht="14.4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74">
        <v>5.3333333333333333E-5</v>
      </c>
      <c r="AH180" s="174">
        <f t="shared" si="20"/>
        <v>5.333333333333333E-2</v>
      </c>
    </row>
    <row r="181" spans="8:34" ht="14.4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74">
        <v>5.3333333333333333E-5</v>
      </c>
      <c r="AH181" s="174">
        <f t="shared" si="20"/>
        <v>5.333333333333333E-2</v>
      </c>
    </row>
    <row r="182" spans="8:34" ht="14.4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74">
        <v>6.666666666666667E-5</v>
      </c>
      <c r="AH182" s="174">
        <f t="shared" si="20"/>
        <v>6.6666666666666666E-2</v>
      </c>
    </row>
    <row r="183" spans="8:34" ht="14.4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74">
        <v>6.666666666666667E-5</v>
      </c>
      <c r="AH183" s="174">
        <f t="shared" si="20"/>
        <v>6.6666666666666666E-2</v>
      </c>
    </row>
    <row r="184" spans="8:34" ht="14.4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74">
        <v>8.3333333333333331E-5</v>
      </c>
      <c r="AH184" s="174">
        <f t="shared" si="20"/>
        <v>8.3333333333333329E-2</v>
      </c>
    </row>
    <row r="185" spans="8:34" ht="14.4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74">
        <v>8.3333333333333331E-5</v>
      </c>
      <c r="AH185" s="174">
        <f t="shared" si="20"/>
        <v>8.3333333333333329E-2</v>
      </c>
    </row>
    <row r="186" spans="8:34" ht="14.4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74">
        <v>8.3333333333333331E-5</v>
      </c>
      <c r="AH186" s="174">
        <f t="shared" si="20"/>
        <v>8.3333333333333329E-2</v>
      </c>
    </row>
    <row r="187" spans="8:34" ht="14.4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74">
        <v>8.3333333333333331E-5</v>
      </c>
      <c r="AH187" s="174">
        <f t="shared" si="20"/>
        <v>8.3333333333333329E-2</v>
      </c>
    </row>
    <row r="188" spans="8:34" ht="14.4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74">
        <v>9.9999999999999991E-5</v>
      </c>
      <c r="AH188" s="174">
        <f t="shared" si="20"/>
        <v>9.9999999999999992E-2</v>
      </c>
    </row>
    <row r="189" spans="8:34" ht="14.4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74">
        <v>9.9999999999999991E-5</v>
      </c>
      <c r="AH189" s="174">
        <f t="shared" si="20"/>
        <v>9.9999999999999992E-2</v>
      </c>
    </row>
    <row r="190" spans="8:34" ht="14.4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74">
        <v>1.6666666666666666E-4</v>
      </c>
      <c r="AH190" s="174">
        <f t="shared" si="20"/>
        <v>0.16666666666666666</v>
      </c>
    </row>
    <row r="191" spans="8:34" ht="14.4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74">
        <v>3.3333333333333332E-4</v>
      </c>
      <c r="AH191" s="174">
        <f t="shared" si="20"/>
        <v>0.33333333333333331</v>
      </c>
    </row>
    <row r="192" spans="8:34" ht="14.4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74">
        <v>3.3333333333333332E-4</v>
      </c>
      <c r="AH192" s="174">
        <f t="shared" si="20"/>
        <v>0.33333333333333331</v>
      </c>
    </row>
    <row r="193" spans="8:34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tblBD_PatronMasa1315[[#This Row],[Masa nominal mN                              (g)]]+(tblBD_PatronMasa1315[[#This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  <c r="AF193" s="174">
        <v>3.3333333333333332E-4</v>
      </c>
      <c r="AH193" s="174">
        <f t="shared" si="20"/>
        <v>0.33333333333333331</v>
      </c>
    </row>
    <row r="194" spans="8:34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tblBD_PatronMasa1315[[#This Row],[Masa nominal mN                              (g)]]+(tblBD_PatronMasa1315[[#This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  <c r="AF194" s="174">
        <v>3.3333333333333332E-4</v>
      </c>
      <c r="AH194" s="174">
        <f t="shared" si="20"/>
        <v>0.33333333333333331</v>
      </c>
    </row>
    <row r="195" spans="8:34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tblBD_PatronMasa1315[[#This Row],[Masa nominal mN                              (g)]]+(tblBD_PatronMasa1315[[#This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  <c r="AF195" s="174">
        <v>8.3333333333333328E-4</v>
      </c>
      <c r="AH195" s="174">
        <f t="shared" si="20"/>
        <v>0.83333333333333326</v>
      </c>
    </row>
    <row r="196" spans="8:34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tblBD_PatronMasa1315[[#This Row],[Masa nominal mN                              (g)]]+(tblBD_PatronMasa1315[[#This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  <c r="AF196" s="174">
        <v>8.3333333333333328E-4</v>
      </c>
      <c r="AH196" s="174">
        <f t="shared" si="20"/>
        <v>0.83333333333333326</v>
      </c>
    </row>
    <row r="197" spans="8:34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tblBD_PatronMasa1315[[#This Row],[Masa nominal mN                              (g)]]+(tblBD_PatronMasa1315[[#This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  <c r="AF197" s="174">
        <v>5.3333333333333332E-3</v>
      </c>
      <c r="AH197" s="174">
        <f t="shared" si="20"/>
        <v>5.333333333333333</v>
      </c>
    </row>
    <row r="198" spans="8:34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tblBD_PatronMasa1315[[#This Row],[Masa nominal mN                              (g)]]+(tblBD_PatronMasa1315[[#This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  <c r="AF198" s="174">
        <v>1.6666666666666666E-3</v>
      </c>
      <c r="AH198" s="174">
        <f t="shared" si="20"/>
        <v>1.6666666666666665</v>
      </c>
    </row>
    <row r="199" spans="8:34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tblBD_PatronMasa1315[[#This Row],[Masa nominal mN                              (g)]]+(tblBD_PatronMasa1315[[#This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  <c r="AF199" s="174">
        <v>1.6666666666666666E-3</v>
      </c>
      <c r="AH199" s="174">
        <f t="shared" si="20"/>
        <v>1.6666666666666665</v>
      </c>
    </row>
    <row r="200" spans="8:34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tblBD_PatronMasa1315[[#This Row],[Masa nominal mN                              (g)]]+(tblBD_PatronMasa1315[[#This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  <c r="AF200" s="174">
        <v>9.9999999999999985E-3</v>
      </c>
      <c r="AH200" s="174">
        <f t="shared" si="20"/>
        <v>9.9999999999999982</v>
      </c>
    </row>
    <row r="201" spans="8:34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tblBD_PatronMasa1315[[#This Row],[Masa nominal mN                              (g)]]+(tblBD_PatronMasa1315[[#This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  <c r="AF201" s="174">
        <v>3.3333333333333331E-3</v>
      </c>
      <c r="AH201" s="174">
        <f t="shared" si="20"/>
        <v>3.333333333333333</v>
      </c>
    </row>
    <row r="202" spans="8:34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tblBD_PatronMasa1315[[#This Row],[Masa nominal mN                              (g)]]+(tblBD_PatronMasa1315[[#This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  <c r="AF202" s="174">
        <v>3.3333333333333331E-3</v>
      </c>
      <c r="AH202" s="174">
        <f t="shared" si="20"/>
        <v>3.333333333333333</v>
      </c>
    </row>
    <row r="203" spans="8:34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tblBD_PatronMasa1315[[#This Row],[Masa nominal mN                              (g)]]+(tblBD_PatronMasa1315[[#This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  <c r="AF203" s="174">
        <v>3.3333333333333331E-3</v>
      </c>
      <c r="AH203" s="174">
        <f t="shared" si="20"/>
        <v>3.333333333333333</v>
      </c>
    </row>
    <row r="204" spans="8:34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tblBD_PatronMasa1315[[#This Row],[Masa nominal mN                              (g)]]+(tblBD_PatronMasa1315[[#This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  <c r="AF204" s="174">
        <v>3.3333333333333331E-3</v>
      </c>
      <c r="AH204" s="174">
        <f t="shared" si="20"/>
        <v>3.333333333333333</v>
      </c>
    </row>
    <row r="205" spans="8:34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tblBD_PatronMasa1315[[#This Row],[Masa nominal mN                              (g)]]+(tblBD_PatronMasa1315[[#This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  <c r="AF205" s="174">
        <v>2.6666666666666665E-2</v>
      </c>
      <c r="AH205" s="174">
        <f t="shared" si="20"/>
        <v>26.666666666666664</v>
      </c>
    </row>
    <row r="206" spans="8:34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tblBD_PatronMasa1315[[#This Row],[Masa nominal mN                              (g)]]+(tblBD_PatronMasa1315[[#This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  <c r="AF206" s="174">
        <v>2.6666666666666665E-2</v>
      </c>
      <c r="AH206" s="174">
        <f t="shared" si="20"/>
        <v>26.666666666666664</v>
      </c>
    </row>
    <row r="207" spans="8:34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tblBD_PatronMasa1315[[#This Row],[Masa nominal mN                              (g)]]+(tblBD_PatronMasa1315[[#This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  <c r="AF207" s="174">
        <v>8.3333333333333332E-3</v>
      </c>
      <c r="AH207" s="174">
        <f t="shared" si="20"/>
        <v>8.3333333333333339</v>
      </c>
    </row>
    <row r="208" spans="8:34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tblBD_PatronMasa1315[[#This Row],[Masa nominal mN                              (g)]]+(tblBD_PatronMasa1315[[#This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  <c r="AF208" s="174">
        <v>1.6666666666666666E-2</v>
      </c>
      <c r="AH208" s="174">
        <f t="shared" si="20"/>
        <v>16.666666666666668</v>
      </c>
    </row>
    <row r="209" spans="8:34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tblBD_PatronMasa1315[[#This Row],[Masa nominal mN                              (g)]]+(tblBD_PatronMasa1315[[#This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  <c r="AF209" s="174">
        <v>3.3333333333333333E-2</v>
      </c>
      <c r="AH209" s="174">
        <f t="shared" si="20"/>
        <v>33.333333333333336</v>
      </c>
    </row>
    <row r="210" spans="8:34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tblBD_PatronMasa1315[[#This Row],[Masa nominal mN                              (g)]]+(tblBD_PatronMasa1315[[#This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  <c r="AF210" s="174">
        <v>1.6666666666666666E-4</v>
      </c>
      <c r="AH210" s="174">
        <f t="shared" si="20"/>
        <v>0.16666666666666666</v>
      </c>
    </row>
    <row r="211" spans="8:34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tblBD_PatronMasa1315[[#This Row],[Masa nominal mN                              (g)]]+(tblBD_PatronMasa1315[[#This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  <c r="AF211" s="174">
        <v>9.9999999999999991E-5</v>
      </c>
      <c r="AH211" s="174">
        <f t="shared" si="20"/>
        <v>9.9999999999999992E-2</v>
      </c>
    </row>
    <row r="212" spans="8:34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tblBD_PatronMasa1315[[#This Row],[Masa nominal mN                              (g)]]+(tblBD_PatronMasa1315[[#This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  <c r="AF212" s="174">
        <v>1.6666666666666666E-2</v>
      </c>
      <c r="AH212" s="174">
        <f t="shared" si="20"/>
        <v>16.666666666666668</v>
      </c>
    </row>
    <row r="213" spans="8:34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tblBD_PatronMasa1315[[#This Row],[Masa nominal mN                              (g)]]+(tblBD_PatronMasa1315[[#This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  <c r="AF213" s="174">
        <v>3.3333333333333333E-2</v>
      </c>
      <c r="AH213" s="174">
        <f t="shared" si="20"/>
        <v>33.333333333333336</v>
      </c>
    </row>
    <row r="214" spans="8:34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tblBD_PatronMasa1315[[#This Row],[Masa nominal mN                              (g)]]+(tblBD_PatronMasa1315[[#This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  <c r="AH214" s="174">
        <f t="shared" si="20"/>
        <v>0</v>
      </c>
    </row>
    <row r="215" spans="8:34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tblBD_PatronMasa1315[[#This Row],[Masa nominal mN                              (g)]]+(tblBD_PatronMasa1315[[#This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  <c r="AH215" s="174">
        <f t="shared" si="20"/>
        <v>0</v>
      </c>
    </row>
    <row r="216" spans="8:34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tblBD_PatronMasa1315[[#This Row],[Masa nominal mN                              (g)]]+(tblBD_PatronMasa1315[[#This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  <c r="AH216" s="174">
        <f t="shared" si="20"/>
        <v>0</v>
      </c>
    </row>
    <row r="217" spans="8:34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tblBD_PatronMasa1315[[#This Row],[Masa nominal mN                              (g)]]+(tblBD_PatronMasa1315[[#This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  <c r="AH217" s="174">
        <f t="shared" si="20"/>
        <v>0</v>
      </c>
    </row>
    <row r="218" spans="8:34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tblBD_PatronMasa1315[[#This Row],[Masa nominal mN                              (g)]]+(tblBD_PatronMasa1315[[#This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  <c r="AH218" s="174">
        <f t="shared" si="20"/>
        <v>0</v>
      </c>
    </row>
    <row r="219" spans="8:34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tblBD_PatronMasa1315[[#This Row],[Masa nominal mN                              (g)]]+(tblBD_PatronMasa1315[[#This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  <c r="AH219" s="174">
        <f t="shared" si="20"/>
        <v>0</v>
      </c>
    </row>
    <row r="220" spans="8:34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tblBD_PatronMasa1315[[#This Row],[Masa nominal mN                              (g)]]+(tblBD_PatronMasa1315[[#This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  <c r="AH220" s="174">
        <f t="shared" si="20"/>
        <v>0</v>
      </c>
    </row>
    <row r="221" spans="8:34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tblBD_PatronMasa1315[[#This Row],[Masa nominal mN                              (g)]]+(tblBD_PatronMasa1315[[#This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  <c r="AH221" s="174">
        <f t="shared" si="20"/>
        <v>0</v>
      </c>
    </row>
    <row r="222" spans="8:34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tblBD_PatronMasa1315[[#This Row],[Masa nominal mN                              (g)]]+(tblBD_PatronMasa1315[[#This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  <c r="AH222" s="174">
        <f t="shared" si="20"/>
        <v>0</v>
      </c>
    </row>
    <row r="223" spans="8:34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tblBD_PatronMasa1315[[#This Row],[Masa nominal mN                              (g)]]+(tblBD_PatronMasa1315[[#This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  <c r="AH223" s="174">
        <f t="shared" si="20"/>
        <v>0</v>
      </c>
    </row>
    <row r="224" spans="8:34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tblBD_PatronMasa1315[[#This Row],[Masa nominal mN                              (g)]]+(tblBD_PatronMasa1315[[#This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  <c r="AH224" s="174">
        <f t="shared" si="20"/>
        <v>0</v>
      </c>
    </row>
    <row r="225" spans="8:34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tblBD_PatronMasa1315[[#This Row],[Masa nominal mN                              (g)]]+(tblBD_PatronMasa1315[[#This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  <c r="AH225" s="174">
        <f t="shared" si="20"/>
        <v>0</v>
      </c>
    </row>
    <row r="226" spans="8:34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tblBD_PatronMasa1315[[#This Row],[Masa nominal mN                              (g)]]+(tblBD_PatronMasa1315[[#This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  <c r="AH226" s="174">
        <f t="shared" si="20"/>
        <v>0</v>
      </c>
    </row>
    <row r="227" spans="8:34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tblBD_PatronMasa1315[[#This Row],[Masa nominal mN                              (g)]]+(tblBD_PatronMasa1315[[#This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  <c r="AH227" s="174">
        <f t="shared" si="20"/>
        <v>0</v>
      </c>
    </row>
    <row r="228" spans="8:34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tblBD_PatronMasa1315[[#This Row],[Masa nominal mN                              (g)]]+(tblBD_PatronMasa1315[[#This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  <c r="AH228" s="174">
        <f t="shared" si="20"/>
        <v>0</v>
      </c>
    </row>
    <row r="229" spans="8:34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tblBD_PatronMasa1315[[#This Row],[Masa nominal mN                              (g)]]+(tblBD_PatronMasa1315[[#This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  <c r="AH229" s="174">
        <f t="shared" si="20"/>
        <v>0</v>
      </c>
    </row>
    <row r="230" spans="8:34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tblBD_PatronMasa1315[[#This Row],[Masa nominal mN                              (g)]]+(tblBD_PatronMasa1315[[#This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  <c r="AH230" s="174">
        <f t="shared" si="20"/>
        <v>0</v>
      </c>
    </row>
    <row r="231" spans="8:34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tblBD_PatronMasa1315[[#This Row],[Masa nominal mN                              (g)]]+(tblBD_PatronMasa1315[[#This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  <c r="AH231" s="174">
        <f t="shared" si="20"/>
        <v>0</v>
      </c>
    </row>
    <row r="232" spans="8:34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tblBD_PatronMasa1315[[#This Row],[Masa nominal mN                              (g)]]+(tblBD_PatronMasa1315[[#This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  <c r="AH232" s="174">
        <f t="shared" si="20"/>
        <v>0</v>
      </c>
    </row>
    <row r="233" spans="8:34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tblBD_PatronMasa1315[[#This Row],[Masa nominal mN                              (g)]]+(tblBD_PatronMasa1315[[#This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  <c r="AH233" s="174">
        <f t="shared" si="20"/>
        <v>0</v>
      </c>
    </row>
    <row r="234" spans="8:34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tblBD_PatronMasa1315[[#This Row],[Masa nominal mN                              (g)]]+(tblBD_PatronMasa1315[[#This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  <c r="AH234" s="174">
        <f t="shared" si="20"/>
        <v>0</v>
      </c>
    </row>
    <row r="235" spans="8:34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tblBD_PatronMasa1315[[#This Row],[Masa nominal mN                              (g)]]+(tblBD_PatronMasa1315[[#This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  <c r="AH235" s="174">
        <f t="shared" si="20"/>
        <v>0</v>
      </c>
    </row>
    <row r="236" spans="8:34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tblBD_PatronMasa1315[[#This Row],[Masa nominal mN                              (g)]]+(tblBD_PatronMasa1315[[#This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  <c r="AH236" s="174">
        <f t="shared" ref="AH236:AH257" si="21">AF236*1000</f>
        <v>0</v>
      </c>
    </row>
    <row r="237" spans="8:34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tblBD_PatronMasa1315[[#This Row],[Masa nominal mN                              (g)]]+(tblBD_PatronMasa1315[[#This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  <c r="AH237" s="174">
        <f t="shared" si="21"/>
        <v>0</v>
      </c>
    </row>
    <row r="238" spans="8:34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tblBD_PatronMasa1315[[#This Row],[Masa nominal mN                              (g)]]+(tblBD_PatronMasa1315[[#This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  <c r="AH238" s="174">
        <f t="shared" si="21"/>
        <v>0</v>
      </c>
    </row>
    <row r="239" spans="8:34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tblBD_PatronMasa1315[[#This Row],[Masa nominal mN                              (g)]]+(tblBD_PatronMasa1315[[#This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  <c r="AH239" s="174">
        <f t="shared" si="21"/>
        <v>0</v>
      </c>
    </row>
    <row r="240" spans="8:34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tblBD_PatronMasa1315[[#This Row],[Masa nominal mN                              (g)]]+(tblBD_PatronMasa1315[[#This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  <c r="AH240" s="174">
        <f t="shared" si="21"/>
        <v>0</v>
      </c>
    </row>
    <row r="241" spans="8:34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tblBD_PatronMasa1315[[#This Row],[Masa nominal mN                              (g)]]+(tblBD_PatronMasa1315[[#This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  <c r="AH241" s="174">
        <f t="shared" si="21"/>
        <v>0</v>
      </c>
    </row>
    <row r="242" spans="8:34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tblBD_PatronMasa1315[[#This Row],[Masa nominal mN                              (g)]]+(tblBD_PatronMasa1315[[#This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  <c r="AH242" s="174">
        <f t="shared" si="21"/>
        <v>0</v>
      </c>
    </row>
    <row r="243" spans="8:34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tblBD_PatronMasa1315[[#This Row],[Masa nominal mN                              (g)]]+(tblBD_PatronMasa1315[[#This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  <c r="AH243" s="174">
        <f t="shared" si="21"/>
        <v>0</v>
      </c>
    </row>
    <row r="244" spans="8:34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tblBD_PatronMasa1315[[#This Row],[Masa nominal mN                              (g)]]+(tblBD_PatronMasa1315[[#This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  <c r="AH244" s="174">
        <f t="shared" si="21"/>
        <v>0</v>
      </c>
    </row>
    <row r="245" spans="8:34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tblBD_PatronMasa1315[[#This Row],[Masa nominal mN                              (g)]]+(tblBD_PatronMasa1315[[#This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  <c r="AH245" s="174">
        <f t="shared" si="21"/>
        <v>0</v>
      </c>
    </row>
    <row r="246" spans="8:34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tblBD_PatronMasa1315[[#This Row],[Masa nominal mN                              (g)]]+(tblBD_PatronMasa1315[[#This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  <c r="AH246" s="174">
        <f t="shared" si="21"/>
        <v>0</v>
      </c>
    </row>
    <row r="247" spans="8:34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tblBD_PatronMasa1315[[#This Row],[Masa nominal mN                              (g)]]+(tblBD_PatronMasa1315[[#This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  <c r="AH247" s="174">
        <f t="shared" si="21"/>
        <v>0</v>
      </c>
    </row>
    <row r="248" spans="8:34" x14ac:dyDescent="0.25">
      <c r="H248" s="202">
        <v>163</v>
      </c>
      <c r="I248" s="204"/>
      <c r="J248" s="202"/>
      <c r="K248" s="203"/>
      <c r="L248" s="214"/>
      <c r="M248" s="208"/>
      <c r="N248" s="266">
        <f>tblBD_PatronMasa1315[[#This Row],[Masa nominal mN                              (g)]]+(tblBD_PatronMasa1315[[#This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  <c r="AH248" s="174">
        <f t="shared" si="21"/>
        <v>0</v>
      </c>
    </row>
    <row r="249" spans="8:34" x14ac:dyDescent="0.25">
      <c r="AH249" s="174">
        <f t="shared" si="21"/>
        <v>0</v>
      </c>
    </row>
    <row r="250" spans="8:34" x14ac:dyDescent="0.25">
      <c r="AH250" s="174">
        <f t="shared" si="21"/>
        <v>0</v>
      </c>
    </row>
    <row r="251" spans="8:34" x14ac:dyDescent="0.25">
      <c r="AH251" s="174">
        <f t="shared" si="21"/>
        <v>0</v>
      </c>
    </row>
    <row r="252" spans="8:34" x14ac:dyDescent="0.25">
      <c r="AH252" s="174">
        <f t="shared" si="21"/>
        <v>0</v>
      </c>
    </row>
    <row r="253" spans="8:34" x14ac:dyDescent="0.25">
      <c r="AH253" s="174">
        <f t="shared" si="21"/>
        <v>0</v>
      </c>
    </row>
    <row r="254" spans="8:34" x14ac:dyDescent="0.25">
      <c r="AH254" s="174">
        <f t="shared" si="21"/>
        <v>0</v>
      </c>
    </row>
    <row r="255" spans="8:34" x14ac:dyDescent="0.25">
      <c r="AH255" s="174">
        <f t="shared" si="21"/>
        <v>0</v>
      </c>
    </row>
    <row r="256" spans="8:34" x14ac:dyDescent="0.25">
      <c r="AH256" s="174">
        <f t="shared" si="21"/>
        <v>0</v>
      </c>
    </row>
    <row r="257" spans="16:34" x14ac:dyDescent="0.25">
      <c r="P257" s="174">
        <v>8.0999999999999996E-3</v>
      </c>
      <c r="Q257" s="174">
        <f>P257/2</f>
        <v>4.0499999999999998E-3</v>
      </c>
      <c r="AH257" s="174">
        <f t="shared" si="21"/>
        <v>0</v>
      </c>
    </row>
    <row r="258" spans="16:34" x14ac:dyDescent="0.25">
      <c r="P258" s="174">
        <v>8.8000000000000005E-3</v>
      </c>
      <c r="Q258" s="174">
        <f t="shared" ref="Q258:Q299" si="22">P258/2</f>
        <v>4.4000000000000003E-3</v>
      </c>
    </row>
    <row r="259" spans="16:34" x14ac:dyDescent="0.25">
      <c r="P259" s="174">
        <v>1.2E-2</v>
      </c>
      <c r="Q259" s="174">
        <f t="shared" si="22"/>
        <v>6.0000000000000001E-3</v>
      </c>
    </row>
    <row r="260" spans="16:34" x14ac:dyDescent="0.25">
      <c r="P260" s="174">
        <v>1.4E-2</v>
      </c>
      <c r="Q260" s="174">
        <f t="shared" si="22"/>
        <v>7.0000000000000001E-3</v>
      </c>
    </row>
    <row r="261" spans="16:34" x14ac:dyDescent="0.25">
      <c r="P261" s="174">
        <v>1.7000000000000001E-2</v>
      </c>
      <c r="Q261" s="174">
        <f t="shared" si="22"/>
        <v>8.5000000000000006E-3</v>
      </c>
    </row>
    <row r="262" spans="16:34" x14ac:dyDescent="0.25">
      <c r="P262" s="174">
        <v>3.3000000000000002E-2</v>
      </c>
      <c r="Q262" s="174">
        <f t="shared" si="22"/>
        <v>1.6500000000000001E-2</v>
      </c>
    </row>
    <row r="263" spans="16:34" x14ac:dyDescent="0.25">
      <c r="P263" s="174">
        <v>8.3000000000000004E-2</v>
      </c>
      <c r="Q263" s="174">
        <f t="shared" si="22"/>
        <v>4.1500000000000002E-2</v>
      </c>
    </row>
    <row r="264" spans="16:34" x14ac:dyDescent="0.25">
      <c r="P264" s="174">
        <v>0.04</v>
      </c>
      <c r="Q264" s="174">
        <f t="shared" si="22"/>
        <v>0.02</v>
      </c>
    </row>
    <row r="265" spans="16:34" x14ac:dyDescent="0.25">
      <c r="P265" s="174">
        <v>0.04</v>
      </c>
      <c r="Q265" s="174">
        <f t="shared" si="22"/>
        <v>0.02</v>
      </c>
    </row>
    <row r="266" spans="16:34" x14ac:dyDescent="0.25">
      <c r="P266" s="174">
        <v>8.3000000000000004E-2</v>
      </c>
      <c r="Q266" s="174">
        <f t="shared" si="22"/>
        <v>4.1500000000000002E-2</v>
      </c>
    </row>
    <row r="267" spans="16:34" x14ac:dyDescent="0.25">
      <c r="P267" s="174">
        <v>5.2999999999999999E-2</v>
      </c>
      <c r="Q267" s="174">
        <f t="shared" si="22"/>
        <v>2.6499999999999999E-2</v>
      </c>
    </row>
    <row r="268" spans="16:34" x14ac:dyDescent="0.25">
      <c r="P268" s="174">
        <v>9.1999999999999998E-2</v>
      </c>
      <c r="Q268" s="174">
        <f t="shared" si="22"/>
        <v>4.5999999999999999E-2</v>
      </c>
    </row>
    <row r="269" spans="16:34" x14ac:dyDescent="0.25">
      <c r="P269" s="174">
        <v>6.6000000000000003E-2</v>
      </c>
      <c r="Q269" s="174">
        <f t="shared" si="22"/>
        <v>3.3000000000000002E-2</v>
      </c>
    </row>
    <row r="270" spans="16:34" x14ac:dyDescent="0.25">
      <c r="P270" s="174">
        <v>8.8999999999999996E-2</v>
      </c>
      <c r="Q270" s="174">
        <f t="shared" si="22"/>
        <v>4.4499999999999998E-2</v>
      </c>
    </row>
    <row r="271" spans="16:34" x14ac:dyDescent="0.25">
      <c r="P271" s="174">
        <v>8.8999999999999996E-2</v>
      </c>
      <c r="Q271" s="174">
        <f t="shared" si="22"/>
        <v>4.4499999999999998E-2</v>
      </c>
    </row>
    <row r="272" spans="16:34" x14ac:dyDescent="0.25">
      <c r="P272" s="174">
        <v>8.3000000000000004E-2</v>
      </c>
      <c r="Q272" s="174">
        <f t="shared" si="22"/>
        <v>4.1500000000000002E-2</v>
      </c>
    </row>
    <row r="273" spans="16:17" x14ac:dyDescent="0.25">
      <c r="P273" s="174">
        <v>8.3000000000000004E-2</v>
      </c>
      <c r="Q273" s="174">
        <f t="shared" si="22"/>
        <v>4.1500000000000002E-2</v>
      </c>
    </row>
    <row r="274" spans="16:17" x14ac:dyDescent="0.25">
      <c r="P274" s="174">
        <v>0.15</v>
      </c>
      <c r="Q274" s="174">
        <f t="shared" si="22"/>
        <v>7.4999999999999997E-2</v>
      </c>
    </row>
    <row r="275" spans="16:17" x14ac:dyDescent="0.25">
      <c r="P275" s="174">
        <v>0.1</v>
      </c>
      <c r="Q275" s="174">
        <f t="shared" si="22"/>
        <v>0.05</v>
      </c>
    </row>
    <row r="276" spans="16:17" x14ac:dyDescent="0.25">
      <c r="P276" s="174">
        <v>0.16</v>
      </c>
      <c r="Q276" s="174">
        <f t="shared" si="22"/>
        <v>0.08</v>
      </c>
    </row>
    <row r="277" spans="16:17" ht="20.25" customHeight="1" x14ac:dyDescent="0.25">
      <c r="P277" s="174">
        <v>0.54</v>
      </c>
      <c r="Q277" s="174">
        <f t="shared" si="22"/>
        <v>0.27</v>
      </c>
    </row>
    <row r="278" spans="16:17" x14ac:dyDescent="0.25">
      <c r="P278" s="174">
        <v>0.54</v>
      </c>
      <c r="Q278" s="174">
        <f t="shared" si="22"/>
        <v>0.27</v>
      </c>
    </row>
    <row r="279" spans="16:17" x14ac:dyDescent="0.25">
      <c r="P279" s="174">
        <v>0.33</v>
      </c>
      <c r="Q279" s="174">
        <f t="shared" si="22"/>
        <v>0.16500000000000001</v>
      </c>
    </row>
    <row r="280" spans="16:17" x14ac:dyDescent="0.25">
      <c r="P280" s="174">
        <v>0.33</v>
      </c>
      <c r="Q280" s="174">
        <f t="shared" si="22"/>
        <v>0.16500000000000001</v>
      </c>
    </row>
    <row r="281" spans="16:17" x14ac:dyDescent="0.25">
      <c r="P281" s="174">
        <v>0.83</v>
      </c>
      <c r="Q281" s="174">
        <f t="shared" si="22"/>
        <v>0.41499999999999998</v>
      </c>
    </row>
    <row r="282" spans="16:17" x14ac:dyDescent="0.25">
      <c r="P282" s="174">
        <v>0.85</v>
      </c>
      <c r="Q282" s="174">
        <f t="shared" si="22"/>
        <v>0.42499999999999999</v>
      </c>
    </row>
    <row r="283" spans="16:17" x14ac:dyDescent="0.25">
      <c r="P283" s="174">
        <v>8.1999999999999993</v>
      </c>
      <c r="Q283" s="174">
        <f t="shared" si="22"/>
        <v>4.0999999999999996</v>
      </c>
    </row>
    <row r="284" spans="16:17" x14ac:dyDescent="0.25">
      <c r="P284" s="174">
        <v>8.1999999999999993</v>
      </c>
      <c r="Q284" s="174">
        <f t="shared" si="22"/>
        <v>4.0999999999999996</v>
      </c>
    </row>
    <row r="285" spans="16:17" x14ac:dyDescent="0.25">
      <c r="P285" s="174">
        <v>1.6</v>
      </c>
      <c r="Q285" s="174">
        <f t="shared" si="22"/>
        <v>0.8</v>
      </c>
    </row>
    <row r="286" spans="16:17" x14ac:dyDescent="0.25">
      <c r="P286" s="174">
        <v>83</v>
      </c>
      <c r="Q286" s="174">
        <f t="shared" si="22"/>
        <v>41.5</v>
      </c>
    </row>
    <row r="287" spans="16:17" x14ac:dyDescent="0.25">
      <c r="P287" s="174">
        <v>83</v>
      </c>
      <c r="Q287" s="174">
        <f t="shared" si="22"/>
        <v>41.5</v>
      </c>
    </row>
    <row r="288" spans="16:17" x14ac:dyDescent="0.25">
      <c r="P288" s="174">
        <v>83</v>
      </c>
      <c r="Q288" s="174">
        <f t="shared" si="22"/>
        <v>41.5</v>
      </c>
    </row>
    <row r="289" spans="7:17" x14ac:dyDescent="0.25">
      <c r="P289" s="174">
        <v>3.3</v>
      </c>
      <c r="Q289" s="174">
        <f t="shared" si="22"/>
        <v>1.65</v>
      </c>
    </row>
    <row r="290" spans="7:17" x14ac:dyDescent="0.25">
      <c r="P290" s="174">
        <v>3.3</v>
      </c>
      <c r="Q290" s="174">
        <f t="shared" si="22"/>
        <v>1.65</v>
      </c>
    </row>
    <row r="291" spans="7:17" x14ac:dyDescent="0.25">
      <c r="P291" s="174">
        <v>8.2000000000000003E-2</v>
      </c>
      <c r="Q291" s="174">
        <f t="shared" si="22"/>
        <v>4.1000000000000002E-2</v>
      </c>
    </row>
    <row r="292" spans="7:17" x14ac:dyDescent="0.25">
      <c r="P292" s="174">
        <v>8.2000000000000003E-2</v>
      </c>
      <c r="Q292" s="174">
        <f t="shared" si="22"/>
        <v>4.1000000000000002E-2</v>
      </c>
    </row>
    <row r="293" spans="7:17" x14ac:dyDescent="0.25">
      <c r="P293" s="174">
        <v>8.3000000000000007</v>
      </c>
      <c r="Q293" s="174">
        <f t="shared" si="22"/>
        <v>4.1500000000000004</v>
      </c>
    </row>
    <row r="294" spans="7:17" x14ac:dyDescent="0.25">
      <c r="P294" s="174">
        <v>1.4999999999999999E-2</v>
      </c>
      <c r="Q294" s="174">
        <f t="shared" si="22"/>
        <v>7.4999999999999997E-3</v>
      </c>
    </row>
    <row r="295" spans="7:17" x14ac:dyDescent="0.25">
      <c r="G295" s="35"/>
      <c r="P295" s="174">
        <v>0.03</v>
      </c>
      <c r="Q295" s="174">
        <f t="shared" si="22"/>
        <v>1.4999999999999999E-2</v>
      </c>
    </row>
    <row r="296" spans="7:17" x14ac:dyDescent="0.25">
      <c r="G296" s="35"/>
      <c r="P296" s="174">
        <v>0.16</v>
      </c>
      <c r="Q296" s="174">
        <f t="shared" si="22"/>
        <v>0.08</v>
      </c>
    </row>
    <row r="297" spans="7:17" x14ac:dyDescent="0.25">
      <c r="G297" s="35"/>
      <c r="P297" s="174">
        <v>0.1</v>
      </c>
      <c r="Q297" s="174">
        <f t="shared" si="22"/>
        <v>0.05</v>
      </c>
    </row>
    <row r="298" spans="7:17" x14ac:dyDescent="0.25">
      <c r="G298" s="35"/>
      <c r="P298" s="174">
        <v>1.6160000000000001E-2</v>
      </c>
      <c r="Q298" s="174">
        <f t="shared" si="22"/>
        <v>8.0800000000000004E-3</v>
      </c>
    </row>
    <row r="299" spans="7:17" x14ac:dyDescent="0.25">
      <c r="G299" s="35"/>
      <c r="P299" s="174">
        <v>33</v>
      </c>
      <c r="Q299" s="174">
        <f t="shared" si="22"/>
        <v>16.5</v>
      </c>
    </row>
    <row r="300" spans="7:17" x14ac:dyDescent="0.25">
      <c r="G300" s="35"/>
    </row>
    <row r="301" spans="7:1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575" t="s">
        <v>739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27" t="s">
        <v>738</v>
      </c>
      <c r="J339" s="527" t="s">
        <v>12</v>
      </c>
      <c r="K339" s="527">
        <v>60</v>
      </c>
      <c r="L339" s="527">
        <v>0.1</v>
      </c>
      <c r="M339" s="527">
        <v>0.1</v>
      </c>
      <c r="N339" s="527">
        <v>0.5</v>
      </c>
      <c r="O339" s="527">
        <v>2.5</v>
      </c>
      <c r="P339" s="527">
        <v>0.5</v>
      </c>
      <c r="Q339" s="527">
        <v>3.8</v>
      </c>
      <c r="R339" s="528">
        <v>43600</v>
      </c>
      <c r="S339" s="529" t="s">
        <v>751</v>
      </c>
      <c r="T339" s="530"/>
      <c r="U339" s="531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32" t="s">
        <v>739</v>
      </c>
      <c r="J340" s="532" t="s">
        <v>740</v>
      </c>
      <c r="K340" s="532">
        <v>60</v>
      </c>
      <c r="L340" s="532">
        <v>0.1</v>
      </c>
      <c r="M340" s="532">
        <v>0.1</v>
      </c>
      <c r="N340" s="532">
        <v>0.8</v>
      </c>
      <c r="O340" s="532">
        <v>4.2</v>
      </c>
      <c r="P340" s="532">
        <v>0.45</v>
      </c>
      <c r="Q340" s="532">
        <v>3.1</v>
      </c>
      <c r="R340" s="528">
        <v>43600</v>
      </c>
      <c r="S340" s="532" t="s">
        <v>752</v>
      </c>
      <c r="T340" s="532"/>
      <c r="U340" s="532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533"/>
      <c r="J341" s="533"/>
      <c r="K341" s="533"/>
      <c r="L341" s="533"/>
      <c r="M341" s="533"/>
      <c r="N341" s="533"/>
      <c r="O341" s="533"/>
      <c r="P341" s="533"/>
      <c r="Q341" s="533"/>
      <c r="R341" s="533"/>
      <c r="S341" s="533"/>
      <c r="T341" s="533"/>
      <c r="U341" s="533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532"/>
      <c r="J342" s="532"/>
      <c r="K342" s="532"/>
      <c r="L342" s="532"/>
      <c r="M342" s="532"/>
      <c r="N342" s="532"/>
      <c r="O342" s="532"/>
      <c r="P342" s="532"/>
      <c r="Q342" s="532"/>
      <c r="R342" s="532"/>
      <c r="S342" s="532"/>
      <c r="T342" s="532"/>
      <c r="U342" s="532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532"/>
      <c r="J343" s="532"/>
      <c r="K343" s="532"/>
      <c r="L343" s="532"/>
      <c r="M343" s="532"/>
      <c r="N343" s="532"/>
      <c r="O343" s="532"/>
      <c r="P343" s="532"/>
      <c r="Q343" s="532"/>
      <c r="R343" s="532"/>
      <c r="S343" s="532"/>
      <c r="T343" s="532"/>
      <c r="U343" s="532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datos!I26</f>
        <v>20.399999999999999</v>
      </c>
      <c r="O352" s="245">
        <f>(O353-O351)/(N353-N351)*(N352-N351)+O351</f>
        <v>0.12234817813765182</v>
      </c>
      <c r="P352" s="245">
        <f>(P353-P351)/(N353-N351)*(N352-N351)+P351</f>
        <v>0.25558704453441294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20.522348178137651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51.753020134228194</v>
      </c>
      <c r="S360" s="246">
        <f>N370+O370</f>
        <v>51.665771812080536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1</v>
      </c>
      <c r="I369" s="243">
        <f>VLOOKUP(I370,H375:K379,1,TRUE)</f>
        <v>20.100000000000001</v>
      </c>
      <c r="J369" s="248">
        <f>VLOOKUP(I369,H375:J379,2,FALSE)</f>
        <v>6.7</v>
      </c>
      <c r="K369" s="248">
        <f>VLOOKUP(I369,H357:K379,3,FALSE)</f>
        <v>1.3</v>
      </c>
      <c r="L369" s="242"/>
      <c r="M369" s="31">
        <f>VLOOKUP(N369,M375:P379,4,FALSE)</f>
        <v>1</v>
      </c>
      <c r="N369" s="243">
        <f>VLOOKUP(N370,M375:P379,1,TRUE)</f>
        <v>20.100000000000001</v>
      </c>
      <c r="O369" s="248">
        <f>VLOOKUP(N369,M375:P379,2,FALSE)</f>
        <v>6.7</v>
      </c>
      <c r="P369" s="248">
        <f>VLOOKUP(N369,M375:P379,3,FALSE)</f>
        <v>1.3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datos!H27</f>
        <v>48.7</v>
      </c>
      <c r="J370" s="249">
        <f>(J371-J369)/(I371-I369)*(I370-I369)+J369</f>
        <v>3.0530201342281877</v>
      </c>
      <c r="K370" s="249">
        <f>(K371-K369)/(I371-I369)*(I370-I369)+K369</f>
        <v>1.3</v>
      </c>
      <c r="L370" s="242"/>
      <c r="M370" s="243"/>
      <c r="N370" s="32">
        <f>datos!I27</f>
        <v>48.6</v>
      </c>
      <c r="O370" s="249">
        <f>(O371-O369)/(N371-N369)*(N370-N369)+O369</f>
        <v>3.0657718120805368</v>
      </c>
      <c r="P370" s="249">
        <f>(P371-P369)/(O371-O369)*(O370-O369)+P369</f>
        <v>1.3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2</v>
      </c>
      <c r="I371" s="243">
        <f>VLOOKUP(H369+1,G375:J379,2,FALSE)</f>
        <v>49.9</v>
      </c>
      <c r="J371" s="248">
        <f>VLOOKUP(I371,H375:K379,2,FALSE)</f>
        <v>2.9</v>
      </c>
      <c r="K371" s="248">
        <f>VLOOKUP(I371,H375:K379,3,FALSE)</f>
        <v>1.3</v>
      </c>
      <c r="L371" s="242"/>
      <c r="M371" s="31">
        <f>M369+1</f>
        <v>2</v>
      </c>
      <c r="N371" s="243">
        <f>VLOOKUP(M369+1,L375:O379,2,FALSE)</f>
        <v>49.9</v>
      </c>
      <c r="O371" s="248">
        <f>VLOOKUP(N371,M375:P379,2,FALSE)</f>
        <v>2.9</v>
      </c>
      <c r="P371" s="248">
        <f>VLOOKUP(N371,M375:P379,3,FALSE)</f>
        <v>1.3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30" t="s">
        <v>183</v>
      </c>
      <c r="I374" s="30" t="s">
        <v>6</v>
      </c>
      <c r="J374" s="30" t="s">
        <v>177</v>
      </c>
      <c r="K374" s="427"/>
      <c r="L374" s="427"/>
      <c r="M374" s="30" t="s">
        <v>183</v>
      </c>
      <c r="N374" s="30" t="s">
        <v>6</v>
      </c>
      <c r="O374" s="30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243">
        <v>20.100000000000001</v>
      </c>
      <c r="I375" s="243">
        <v>6.7</v>
      </c>
      <c r="J375" s="243">
        <v>1.3</v>
      </c>
      <c r="K375" s="428">
        <v>1</v>
      </c>
      <c r="L375" s="428">
        <v>1</v>
      </c>
      <c r="M375" s="243">
        <v>20.100000000000001</v>
      </c>
      <c r="N375" s="243">
        <v>6.7</v>
      </c>
      <c r="O375" s="243">
        <v>1.3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243">
        <v>49.9</v>
      </c>
      <c r="I376" s="243">
        <v>2.9</v>
      </c>
      <c r="J376" s="243">
        <v>1.3</v>
      </c>
      <c r="K376" s="428">
        <v>2</v>
      </c>
      <c r="L376" s="428">
        <v>2</v>
      </c>
      <c r="M376" s="243">
        <v>49.9</v>
      </c>
      <c r="N376" s="243">
        <v>2.9</v>
      </c>
      <c r="O376" s="243">
        <v>1.3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243">
        <v>70.099999999999994</v>
      </c>
      <c r="I377" s="243">
        <v>0.3</v>
      </c>
      <c r="J377" s="243">
        <v>1.3</v>
      </c>
      <c r="K377" s="428">
        <v>3</v>
      </c>
      <c r="L377" s="428">
        <v>3</v>
      </c>
      <c r="M377" s="243">
        <v>70.099999999999994</v>
      </c>
      <c r="N377" s="243">
        <v>0.3</v>
      </c>
      <c r="O377" s="243">
        <v>1.3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243">
        <v>80.099999999999994</v>
      </c>
      <c r="I378" s="243">
        <v>-1.1000000000000001</v>
      </c>
      <c r="J378" s="243">
        <v>1.3</v>
      </c>
      <c r="K378" s="428">
        <v>4</v>
      </c>
      <c r="L378" s="428">
        <v>4</v>
      </c>
      <c r="M378" s="243">
        <v>80.099999999999994</v>
      </c>
      <c r="N378" s="243">
        <v>-1.1000000000000001</v>
      </c>
      <c r="O378" s="243">
        <v>1.3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243"/>
      <c r="I379" s="243"/>
      <c r="J379" s="243"/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datos!I26</f>
        <v>20.399999999999999</v>
      </c>
      <c r="O406" s="245">
        <f>(O407-O405)/(N407-N405)*(N406-N405)+O405</f>
        <v>-0.1016</v>
      </c>
      <c r="P406" s="245">
        <f>(P407-P405)/(N407-N405)*(N406-N405)+P405</f>
        <v>0.25080000000000002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v>14.76</v>
      </c>
      <c r="I411" s="416">
        <v>0.18</v>
      </c>
      <c r="J411" s="416">
        <v>0.27</v>
      </c>
      <c r="K411" s="35">
        <v>1</v>
      </c>
      <c r="L411" s="35">
        <v>1</v>
      </c>
      <c r="M411" s="416">
        <v>14.76</v>
      </c>
      <c r="N411" s="416">
        <v>0.18</v>
      </c>
      <c r="O411" s="416"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v>20</v>
      </c>
      <c r="I412" s="431">
        <v>-0.1</v>
      </c>
      <c r="J412" s="416">
        <v>0.25</v>
      </c>
      <c r="K412" s="35">
        <v>2</v>
      </c>
      <c r="L412" s="35">
        <v>2</v>
      </c>
      <c r="M412" s="416">
        <v>20</v>
      </c>
      <c r="N412" s="431">
        <v>-0.1</v>
      </c>
      <c r="O412" s="416"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v>25</v>
      </c>
      <c r="I413" s="416">
        <v>-0.12</v>
      </c>
      <c r="J413" s="416">
        <v>0.26</v>
      </c>
      <c r="K413" s="35">
        <v>3</v>
      </c>
      <c r="L413" s="35">
        <v>3</v>
      </c>
      <c r="M413" s="416">
        <v>25</v>
      </c>
      <c r="N413" s="416">
        <v>-0.12</v>
      </c>
      <c r="O413" s="416">
        <v>0.26</v>
      </c>
      <c r="P413" s="35">
        <v>3</v>
      </c>
      <c r="Q413" s="242"/>
      <c r="R413" s="246">
        <f>I406+J406</f>
        <v>20.497600000000002</v>
      </c>
      <c r="S413" s="246">
        <f>N406+O406</f>
        <v>20.298399999999997</v>
      </c>
      <c r="T413" s="242"/>
      <c r="U413" s="242"/>
    </row>
    <row r="414" spans="7:21" x14ac:dyDescent="0.25">
      <c r="G414" s="35">
        <v>4</v>
      </c>
      <c r="H414" s="416">
        <v>30.36</v>
      </c>
      <c r="I414" s="431">
        <v>-0.34</v>
      </c>
      <c r="J414" s="416">
        <v>0.26</v>
      </c>
      <c r="K414" s="35">
        <v>4</v>
      </c>
      <c r="L414" s="35">
        <v>4</v>
      </c>
      <c r="M414" s="416">
        <v>30.36</v>
      </c>
      <c r="N414" s="431">
        <v>-0.34</v>
      </c>
      <c r="O414" s="416">
        <v>0.26</v>
      </c>
      <c r="P414" s="35">
        <v>4</v>
      </c>
      <c r="Q414" s="242"/>
      <c r="R414" s="246">
        <f>I424+J424</f>
        <v>50.796703296703299</v>
      </c>
      <c r="S414" s="246">
        <f>N424+O424</f>
        <v>50.699450549450553</v>
      </c>
      <c r="T414" s="242"/>
      <c r="U414" s="242"/>
    </row>
    <row r="415" spans="7:21" x14ac:dyDescent="0.25">
      <c r="G415" s="35">
        <v>5</v>
      </c>
      <c r="H415" s="416">
        <v>35.08</v>
      </c>
      <c r="I415" s="431">
        <v>-0.68</v>
      </c>
      <c r="J415" s="416">
        <v>0.27</v>
      </c>
      <c r="K415" s="35">
        <v>5</v>
      </c>
      <c r="L415" s="35">
        <v>5</v>
      </c>
      <c r="M415" s="416">
        <v>35.08</v>
      </c>
      <c r="N415" s="431">
        <v>-0.68</v>
      </c>
      <c r="O415" s="416"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datos!H27</f>
        <v>48.7</v>
      </c>
      <c r="J424" s="249">
        <f>(J425-J423)/(I425-I423)*(I424-I423)+J423</f>
        <v>2.0967032967032964</v>
      </c>
      <c r="K424" s="249">
        <f>(K425-K423)/(I425-I423)*(I424-I423)+K423</f>
        <v>1.3</v>
      </c>
      <c r="L424" s="242"/>
      <c r="M424" s="243"/>
      <c r="N424" s="32">
        <f>datos!I27</f>
        <v>48.6</v>
      </c>
      <c r="O424" s="249">
        <f>(O425-O423)/(N425-N423)*(N424-N423)+O423</f>
        <v>2.0994505494505491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515"/>
      <c r="I432" s="515"/>
      <c r="J432" s="515"/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datos!I26</f>
        <v>20.399999999999999</v>
      </c>
      <c r="O459" s="245">
        <f>(O460-O458)/(N460-N458)*(N459-N458)+O458</f>
        <v>-0.10079999999999993</v>
      </c>
      <c r="P459" s="245">
        <f>(P460-P458)/(N460-N458)*(N459-N458)+P458</f>
        <v>0.27279999999999999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v>14.76</v>
      </c>
      <c r="I464" s="442">
        <v>-0.1</v>
      </c>
      <c r="J464" s="416">
        <v>0.25</v>
      </c>
      <c r="K464" s="35">
        <v>1</v>
      </c>
      <c r="L464" s="35">
        <v>1</v>
      </c>
      <c r="M464" s="416">
        <v>14.76</v>
      </c>
      <c r="N464" s="442">
        <v>-0.1</v>
      </c>
      <c r="O464" s="416"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v>20</v>
      </c>
      <c r="I465" s="442">
        <v>-0.08</v>
      </c>
      <c r="J465" s="416">
        <v>0.26</v>
      </c>
      <c r="K465" s="35">
        <v>2</v>
      </c>
      <c r="L465" s="35">
        <v>2</v>
      </c>
      <c r="M465" s="416">
        <v>20</v>
      </c>
      <c r="N465" s="442">
        <v>-0.08</v>
      </c>
      <c r="O465" s="416"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v>25</v>
      </c>
      <c r="I466" s="442">
        <v>-0.34</v>
      </c>
      <c r="J466" s="416">
        <v>0.42</v>
      </c>
      <c r="K466" s="35">
        <v>3</v>
      </c>
      <c r="L466" s="35">
        <v>3</v>
      </c>
      <c r="M466" s="416">
        <v>25</v>
      </c>
      <c r="N466" s="442">
        <v>-0.34</v>
      </c>
      <c r="O466" s="416">
        <v>0.42</v>
      </c>
      <c r="P466" s="35">
        <v>3</v>
      </c>
      <c r="Q466" s="242"/>
      <c r="R466" s="246">
        <f>I459+J459</f>
        <v>20.488800000000001</v>
      </c>
      <c r="S466" s="246">
        <f>N459+O459</f>
        <v>20.299199999999999</v>
      </c>
      <c r="T466" s="242"/>
      <c r="U466" s="242"/>
    </row>
    <row r="467" spans="7:21" x14ac:dyDescent="0.25">
      <c r="G467" s="35">
        <v>4</v>
      </c>
      <c r="H467" s="416">
        <v>30.36</v>
      </c>
      <c r="I467" s="442">
        <v>-0.3</v>
      </c>
      <c r="J467" s="416">
        <v>0.25</v>
      </c>
      <c r="K467" s="35">
        <v>4</v>
      </c>
      <c r="L467" s="35">
        <v>4</v>
      </c>
      <c r="M467" s="416">
        <v>30.36</v>
      </c>
      <c r="N467" s="442">
        <v>-0.3</v>
      </c>
      <c r="O467" s="416">
        <v>0.25</v>
      </c>
      <c r="P467" s="35">
        <v>4</v>
      </c>
      <c r="Q467" s="242"/>
      <c r="R467" s="246">
        <f>I477+J477</f>
        <v>49.393406593406596</v>
      </c>
      <c r="S467" s="246">
        <f>N477+O477</f>
        <v>49.298901098901098</v>
      </c>
      <c r="T467" s="242"/>
      <c r="U467" s="242"/>
    </row>
    <row r="468" spans="7:21" x14ac:dyDescent="0.25">
      <c r="G468" s="35">
        <v>5</v>
      </c>
      <c r="H468" s="416"/>
      <c r="I468" s="442"/>
      <c r="J468" s="416"/>
      <c r="K468" s="35">
        <v>5</v>
      </c>
      <c r="L468" s="35">
        <v>5</v>
      </c>
      <c r="M468" s="416"/>
      <c r="N468" s="442"/>
      <c r="O468" s="416"/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datos!H27</f>
        <v>48.7</v>
      </c>
      <c r="J477" s="249">
        <f>(J478-J476)/(I478-I476)*(I477-I476)+J476</f>
        <v>0.69340659340659316</v>
      </c>
      <c r="K477" s="249">
        <f>(K478-K476)/(I478-I476)*(I477-I476)+K476</f>
        <v>1.3</v>
      </c>
      <c r="L477" s="242"/>
      <c r="M477" s="243"/>
      <c r="N477" s="32">
        <f>datos!I27</f>
        <v>48.6</v>
      </c>
      <c r="O477" s="249">
        <f>(O478-O476)/(N478-N476)*(N477-N476)+O476</f>
        <v>0.69890109890109886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v>41.3</v>
      </c>
      <c r="I482" s="517">
        <v>1.1000000000000001</v>
      </c>
      <c r="J482" s="518">
        <v>1.3</v>
      </c>
      <c r="K482" s="448">
        <v>1</v>
      </c>
      <c r="L482" s="448">
        <v>1</v>
      </c>
      <c r="M482" s="517">
        <v>41.3</v>
      </c>
      <c r="N482" s="517">
        <v>1.1000000000000001</v>
      </c>
      <c r="O482" s="518"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v>59.5</v>
      </c>
      <c r="I483" s="517">
        <v>0.1</v>
      </c>
      <c r="J483" s="518">
        <v>1.3</v>
      </c>
      <c r="K483" s="448">
        <v>2</v>
      </c>
      <c r="L483" s="448">
        <v>2</v>
      </c>
      <c r="M483" s="517">
        <v>59.5</v>
      </c>
      <c r="N483" s="517">
        <v>0.1</v>
      </c>
      <c r="O483" s="518"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v>84.9</v>
      </c>
      <c r="I484" s="517">
        <v>1.1000000000000001</v>
      </c>
      <c r="J484" s="518">
        <v>1.3</v>
      </c>
      <c r="K484" s="448">
        <v>3</v>
      </c>
      <c r="L484" s="448">
        <v>3</v>
      </c>
      <c r="M484" s="517">
        <v>84.9</v>
      </c>
      <c r="N484" s="517">
        <v>1.1000000000000001</v>
      </c>
      <c r="O484" s="518"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/>
      <c r="I485" s="517"/>
      <c r="J485" s="518"/>
      <c r="K485" s="448">
        <v>4</v>
      </c>
      <c r="L485" s="448">
        <v>4</v>
      </c>
      <c r="M485" s="517"/>
      <c r="N485" s="517"/>
      <c r="O485" s="518"/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/>
      <c r="I486" s="517"/>
      <c r="J486" s="517"/>
      <c r="K486" s="448">
        <v>5</v>
      </c>
      <c r="L486" s="448">
        <v>5</v>
      </c>
      <c r="M486" s="517"/>
      <c r="N486" s="517"/>
      <c r="O486" s="517"/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519" t="s">
        <v>188</v>
      </c>
      <c r="I489" s="519"/>
      <c r="J489" s="519"/>
      <c r="K489" s="519"/>
      <c r="L489" s="520"/>
      <c r="M489" s="519" t="s">
        <v>188</v>
      </c>
      <c r="N489" s="519"/>
      <c r="O489" s="519"/>
      <c r="P489" s="51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76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76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77">
        <f>datos!H28*100</f>
        <v>100100</v>
      </c>
      <c r="J492" s="252">
        <f>(J493-J491)/(I493-I491)*(I492-I491)+J491</f>
        <v>1.9</v>
      </c>
      <c r="K492" s="245">
        <f>(K493-K491)/(I493-I491)*(I492-I491)+K491</f>
        <v>0.28000000000000003</v>
      </c>
      <c r="L492" s="520"/>
      <c r="M492" s="518"/>
      <c r="N492" s="577">
        <f>datos!I28*100</f>
        <v>100100</v>
      </c>
      <c r="O492" s="252">
        <f>(O493-O491)/(N493-N491)*(N492-N491)+O491</f>
        <v>1.9</v>
      </c>
      <c r="P492" s="245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76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76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datos!I26</f>
        <v>20.399999999999999</v>
      </c>
      <c r="O513" s="245">
        <f>(O514-O512)/(N514-N512)*(N513-N512)+O512</f>
        <v>0.1082608695652173</v>
      </c>
      <c r="P513" s="245">
        <f>(P514-P512)/(N514-N512)*(N513-N512)+P512</f>
        <v>3.9043478260869562E-2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20.508260869565216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49.824203821656056</v>
      </c>
      <c r="S521" s="246">
        <f>N531+O531</f>
        <v>49.670063694267519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2</v>
      </c>
      <c r="N530" s="243">
        <f>VLOOKUP(N531,M536:P540,1,TRUE)</f>
        <v>42.56</v>
      </c>
      <c r="O530" s="248">
        <f>VLOOKUP(N530,M536:P540,2,FALSE)</f>
        <v>-2.2000000000000002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datos!H27</f>
        <v>48.7</v>
      </c>
      <c r="J531" s="249">
        <f>(J532-J530)/(I532-I530)*(I531-I530)+J530</f>
        <v>1.1242038216560508</v>
      </c>
      <c r="K531" s="249">
        <f>(K532-K530)/(I532-I530)*(I531-I530)+K530</f>
        <v>0.5977707006369426</v>
      </c>
      <c r="L531" s="242"/>
      <c r="M531" s="243"/>
      <c r="N531" s="32">
        <f>datos!I27</f>
        <v>48.6</v>
      </c>
      <c r="O531" s="249">
        <f>(O532-O530)/(N532-N530)*(N531-N530)+O530</f>
        <v>1.0700636942675152</v>
      </c>
      <c r="P531" s="249">
        <f>(P532-P530)/(O532-O530)*(O531-O530)+P530</f>
        <v>0.59617834394904456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3</v>
      </c>
      <c r="N532" s="243">
        <f>VLOOKUP(M530+1,L536:O540,2,FALSE)</f>
        <v>48.84</v>
      </c>
      <c r="O532" s="248">
        <f>VLOOKUP(N532,M536:P540,2,FALSE)</f>
        <v>1.2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8">
    <mergeCell ref="H401:P401"/>
    <mergeCell ref="H454:P454"/>
    <mergeCell ref="H508:P508"/>
    <mergeCell ref="C5:E5"/>
    <mergeCell ref="C6:E6"/>
    <mergeCell ref="B9:E9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  <mergeCell ref="L54:L55"/>
    <mergeCell ref="D55:E55"/>
    <mergeCell ref="G55:H55"/>
    <mergeCell ref="AS57:AS58"/>
    <mergeCell ref="G58:I58"/>
    <mergeCell ref="B1:E1"/>
    <mergeCell ref="B2:B3"/>
    <mergeCell ref="C2:E2"/>
    <mergeCell ref="C3:E3"/>
    <mergeCell ref="C4:E4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C23:E2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AQ94:AX94"/>
    <mergeCell ref="AR95:AX95"/>
    <mergeCell ref="AF94:AM94"/>
    <mergeCell ref="AG95:AM95"/>
    <mergeCell ref="G355:K355"/>
    <mergeCell ref="H373:K373"/>
    <mergeCell ref="M373:P373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R324:T324"/>
    <mergeCell ref="N334:O334"/>
    <mergeCell ref="P334:Q334"/>
    <mergeCell ref="R334:R335"/>
    <mergeCell ref="S334:U335"/>
    <mergeCell ref="H347:P347"/>
  </mergeCells>
  <phoneticPr fontId="131" type="noConversion"/>
  <conditionalFormatting sqref="M193:M248">
    <cfRule type="expression" dxfId="80" priority="5">
      <formula>M193&gt;P193</formula>
    </cfRule>
  </conditionalFormatting>
  <conditionalFormatting sqref="N97:N248">
    <cfRule type="cellIs" dxfId="79" priority="4" operator="lessThan">
      <formula>Z97</formula>
    </cfRule>
  </conditionalFormatting>
  <conditionalFormatting sqref="P97:P248">
    <cfRule type="expression" dxfId="78" priority="7">
      <formula>P97&gt;S97</formula>
    </cfRule>
  </conditionalFormatting>
  <hyperlinks>
    <hyperlink ref="BQ44" r:id="rId1" xr:uid="{00000000-0004-0000-0200-000000000000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820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8203" r:id="rId5"/>
      </mc:Fallback>
    </mc:AlternateContent>
    <mc:AlternateContent xmlns:mc="http://schemas.openxmlformats.org/markup-compatibility/2006">
      <mc:Choice Requires="x14">
        <oleObject progId="Equation.3" shapeId="820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8204" r:id="rId7"/>
      </mc:Fallback>
    </mc:AlternateContent>
    <mc:AlternateContent xmlns:mc="http://schemas.openxmlformats.org/markup-compatibility/2006">
      <mc:Choice Requires="x14">
        <oleObject progId="Equation.3" shapeId="8206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8206" r:id="rId9"/>
      </mc:Fallback>
    </mc:AlternateContent>
    <mc:AlternateContent xmlns:mc="http://schemas.openxmlformats.org/markup-compatibility/2006">
      <mc:Choice Requires="x14">
        <oleObject progId="Equation.3" shapeId="8207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8207" r:id="rId11"/>
      </mc:Fallback>
    </mc:AlternateContent>
    <mc:AlternateContent xmlns:mc="http://schemas.openxmlformats.org/markup-compatibility/2006">
      <mc:Choice Requires="x14">
        <oleObject progId="Equation.3" shapeId="8208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8208" r:id="rId13"/>
      </mc:Fallback>
    </mc:AlternateContent>
    <mc:AlternateContent xmlns:mc="http://schemas.openxmlformats.org/markup-compatibility/2006">
      <mc:Choice Requires="x14">
        <oleObject progId="Equation.3" shapeId="8209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8209" r:id="rId15"/>
      </mc:Fallback>
    </mc:AlternateContent>
    <mc:AlternateContent xmlns:mc="http://schemas.openxmlformats.org/markup-compatibility/2006">
      <mc:Choice Requires="x14">
        <oleObject progId="Equation.3" shapeId="8210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8210" r:id="rId17"/>
      </mc:Fallback>
    </mc:AlternateContent>
    <mc:AlternateContent xmlns:mc="http://schemas.openxmlformats.org/markup-compatibility/2006">
      <mc:Choice Requires="x14">
        <oleObject progId="Equation.3" shapeId="8211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8211" r:id="rId19"/>
      </mc:Fallback>
    </mc:AlternateContent>
    <mc:AlternateContent xmlns:mc="http://schemas.openxmlformats.org/markup-compatibility/2006">
      <mc:Choice Requires="x14">
        <oleObject progId="Equation.3" shapeId="8213" r:id="rId20">
          <objectPr defaultSize="0" autoPict="0" r:id="rId21">
            <anchor moveWithCells="1" sizeWithCells="1">
              <from>
                <xdr:col>6</xdr:col>
                <xdr:colOff>160020</xdr:colOff>
                <xdr:row>38</xdr:row>
                <xdr:rowOff>175260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8213" r:id="rId20"/>
      </mc:Fallback>
    </mc:AlternateContent>
    <mc:AlternateContent xmlns:mc="http://schemas.openxmlformats.org/markup-compatibility/2006">
      <mc:Choice Requires="x14">
        <oleObject progId="Equation.3" shapeId="8214" r:id="rId22">
          <objectPr defaultSize="0" autoPict="0" r:id="rId23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8214" r:id="rId22"/>
      </mc:Fallback>
    </mc:AlternateContent>
    <mc:AlternateContent xmlns:mc="http://schemas.openxmlformats.org/markup-compatibility/2006">
      <mc:Choice Requires="x14">
        <oleObject progId="Equation.3" shapeId="8215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8215" r:id="rId24"/>
      </mc:Fallback>
    </mc:AlternateContent>
  </oleObjects>
  <tableParts count="1">
    <tablePart r:id="rId2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datos!G39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datos!C31</f>
        <v>N/A</v>
      </c>
      <c r="J5" s="569" t="str">
        <f>datos!C32</f>
        <v>N/A</v>
      </c>
      <c r="K5" s="569" t="str">
        <f>datos!C33</f>
        <v>N/A</v>
      </c>
      <c r="L5" s="569" t="str">
        <f>datos!C34</f>
        <v>N/A</v>
      </c>
      <c r="M5" s="569" t="str">
        <f>datos!C35</f>
        <v>N/A</v>
      </c>
      <c r="N5" s="569" t="str">
        <f>datos!C36</f>
        <v>N/A</v>
      </c>
      <c r="O5" s="569" t="str">
        <f>datos!C37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datos!C31</f>
        <v>N/A</v>
      </c>
      <c r="J6" s="569" t="str">
        <f>datos!C32</f>
        <v>N/A</v>
      </c>
      <c r="K6" s="569" t="str">
        <f>datos!C33</f>
        <v>N/A</v>
      </c>
      <c r="L6" s="569" t="str">
        <f>datos!C34</f>
        <v>N/A</v>
      </c>
      <c r="M6" s="569" t="str">
        <f>datos!C35</f>
        <v>N/A</v>
      </c>
      <c r="N6" s="569" t="str">
        <f>datos!C36</f>
        <v>N/A</v>
      </c>
      <c r="O6" s="569" t="str">
        <f>datos!C37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59.221978021978025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datos!E39</f>
        <v>0</v>
      </c>
      <c r="D7" s="118" t="str">
        <f>datos!F39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21.1524</v>
      </c>
      <c r="AD7" s="192">
        <f>C31</f>
        <v>57.048351648351648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5">
        <f t="shared" ref="J8:O8" si="1">IF(J6="N/A",0,VLOOKUP(J6,$I$93:$Z$396,5,FALSE))</f>
        <v>0</v>
      </c>
      <c r="K8" s="185">
        <f t="shared" si="1"/>
        <v>0</v>
      </c>
      <c r="L8" s="185">
        <f t="shared" si="1"/>
        <v>0</v>
      </c>
      <c r="M8" s="185">
        <f t="shared" si="1"/>
        <v>0</v>
      </c>
      <c r="N8" s="185">
        <f t="shared" si="1"/>
        <v>0</v>
      </c>
      <c r="O8" s="185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20.631</v>
      </c>
      <c r="AD8" s="366">
        <f>AVERAGE(AD6:AD7)</f>
        <v>58.135164835164836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5">
        <f t="shared" ref="J9:O9" si="2">IF(J6="N/A",0,VLOOKUP(J6,$I$93:$Z$396,7,FALSE))</f>
        <v>0</v>
      </c>
      <c r="K9" s="185">
        <f t="shared" si="2"/>
        <v>0</v>
      </c>
      <c r="L9" s="185">
        <f t="shared" si="2"/>
        <v>0</v>
      </c>
      <c r="M9" s="185">
        <f t="shared" si="2"/>
        <v>0</v>
      </c>
      <c r="N9" s="185">
        <f t="shared" si="2"/>
        <v>0</v>
      </c>
      <c r="O9" s="185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1.1811264428331834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21.1524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59.221978021978025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20.631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20.631</v>
      </c>
      <c r="BB15" s="181"/>
      <c r="BC15" s="175"/>
      <c r="BD15" s="378"/>
      <c r="BE15" s="366" t="s">
        <v>492</v>
      </c>
      <c r="BF15" s="477">
        <f>MIN(AD6:AD7)</f>
        <v>57.048351648351648</v>
      </c>
      <c r="BG15" s="368" t="s">
        <v>42</v>
      </c>
      <c r="BH15" s="478">
        <f>AVERAGE(BF14:BF15)</f>
        <v>58.135164835164836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datos!H39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425.63816100000003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293.78099999999995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2.5984781742330033E-5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425.63816100000003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293.78099999999995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293.78099999999995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86307.275960999963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1.0040015570301601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2432.1788931775886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datos!C41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0.21286065864785814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0.44368962557006714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datos!C42</f>
        <v>0</v>
      </c>
      <c r="J25" s="78">
        <f>datos!D42</f>
        <v>0</v>
      </c>
      <c r="K25" s="78">
        <f>datos!E42</f>
        <v>0</v>
      </c>
      <c r="L25" s="78">
        <f>datos!F42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21.1524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datos!C43</f>
        <v>0</v>
      </c>
      <c r="J26" s="78">
        <f>datos!D43</f>
        <v>0</v>
      </c>
      <c r="K26" s="78">
        <f>datos!E43</f>
        <v>0</v>
      </c>
      <c r="L26" s="78">
        <f>datos!F43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datos!C44</f>
        <v>0</v>
      </c>
      <c r="J27" s="78">
        <f>datos!D44</f>
        <v>0</v>
      </c>
      <c r="K27" s="78">
        <f>datos!E44</f>
        <v>0</v>
      </c>
      <c r="L27" s="78">
        <f>datos!F44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datos!I39</f>
        <v>NI-MCPPT-06</v>
      </c>
      <c r="D28" s="758"/>
      <c r="E28" s="759"/>
      <c r="I28" s="78">
        <f>datos!C45</f>
        <v>0</v>
      </c>
      <c r="J28" s="78">
        <f>datos!D45</f>
        <v>0</v>
      </c>
      <c r="K28" s="78">
        <f>datos!E45</f>
        <v>0</v>
      </c>
      <c r="L28" s="78">
        <f>datos!F45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0.30040471589729295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0.78752385181138462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7.8752385181138466E-3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59.221978021978025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57.048351648351648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0.99961752955599448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-0.14205686773569914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datos!I39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0.30040471589729295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0.99961752955599448</v>
      </c>
      <c r="AS37" s="368"/>
      <c r="AT37" s="181"/>
      <c r="AU37" s="175"/>
      <c r="AV37" s="378"/>
      <c r="AW37" s="366" t="s">
        <v>288</v>
      </c>
      <c r="AX37" s="405">
        <f>BH29</f>
        <v>7.8752385181138466E-3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2.5984781742330033E-5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293.78099999999995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0.58135164835164832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1.4181641058102745E-2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1.0040015570301601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2432.1788931775886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0.99961752955599448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1.0040015570301601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2432.1788931775886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293.78099999999995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1.4181641058102745E-2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1.4181641058102745E-2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2.0111894310086554E-4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1.1811264428331835E-5</v>
      </c>
      <c r="AT46" s="181"/>
      <c r="AU46" s="175"/>
      <c r="AV46" s="378"/>
      <c r="AW46" s="723">
        <f>SQRT((AS46*AX35)^2+(AS49*AX36)^2+(AS52*AX37)^2+(AX38^2)+(AS57*BR41)^2)</f>
        <v>1.257348375157263E-3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1.1811264428331834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4.0158299056328233E-3</v>
      </c>
      <c r="AT49" s="181"/>
      <c r="AU49" s="175"/>
      <c r="AV49" s="366">
        <f>AW46*2</f>
        <v>2.5146967503145261E-3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1.1811264428331834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1.257348375157263E-3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-1.1811264428331834E-2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2.5146967503145261E-3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-0.14205686773569914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tblBD_PatronMasa13152[[#This Row],[Masa nominal mN                              (g)]]+(tblBD_PatronMasa13152[[#This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02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tblBD_PatronMasa13152[[#This Row],[Masa nominal mN                              (g)]]+(tblBD_PatronMasa13152[[#This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02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tblBD_PatronMasa13152[[#This Row],[Masa nominal mN                              (g)]]+(tblBD_PatronMasa13152[[#This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02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tblBD_PatronMasa13152[[#This Row],[Masa nominal mN                              (g)]]+(tblBD_PatronMasa13152[[#This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02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tblBD_PatronMasa13152[[#This Row],[Masa nominal mN                              (g)]]+(tblBD_PatronMasa13152[[#This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02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tblBD_PatronMasa13152[[#This Row],[Masa nominal mN                              (g)]]+(tblBD_PatronMasa13152[[#This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02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tblBD_PatronMasa13152[[#This Row],[Masa nominal mN                              (g)]]+(tblBD_PatronMasa13152[[#This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02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tblBD_PatronMasa13152[[#This Row],[Masa nominal mN                              (g)]]+(tblBD_PatronMasa13152[[#This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02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tblBD_PatronMasa13152[[#This Row],[Masa nominal mN                              (g)]]+(tblBD_PatronMasa13152[[#This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02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tblBD_PatronMasa13152[[#This Row],[Masa nominal mN                              (g)]]+(tblBD_PatronMasa13152[[#This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02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tblBD_PatronMasa13152[[#This Row],[Masa nominal mN                              (g)]]+(tblBD_PatronMasa13152[[#This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02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tblBD_PatronMasa13152[[#This Row],[Masa nominal mN                              (g)]]+(tblBD_PatronMasa13152[[#This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02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tblBD_PatronMasa13152[[#This Row],[Masa nominal mN                              (g)]]+(tblBD_PatronMasa13152[[#This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02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tblBD_PatronMasa13152[[#This Row],[Masa nominal mN                              (g)]]+(tblBD_PatronMasa13152[[#This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02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tblBD_PatronMasa13152[[#This Row],[Masa nominal mN                              (g)]]+(tblBD_PatronMasa13152[[#This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02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tblBD_PatronMasa13152[[#This Row],[Masa nominal mN                              (g)]]+(tblBD_PatronMasa13152[[#This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02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tblBD_PatronMasa13152[[#This Row],[Masa nominal mN                              (g)]]+(tblBD_PatronMasa13152[[#This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02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tblBD_PatronMasa13152[[#This Row],[Masa nominal mN                              (g)]]+(tblBD_PatronMasa13152[[#This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02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tblBD_PatronMasa13152[[#This Row],[Masa nominal mN                              (g)]]+(tblBD_PatronMasa13152[[#This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02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tblBD_PatronMasa13152[[#This Row],[Masa nominal mN                              (g)]]+(tblBD_PatronMasa13152[[#This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02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tblBD_PatronMasa13152[[#This Row],[Masa nominal mN                              (g)]]+(tblBD_PatronMasa13152[[#This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02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tblBD_PatronMasa13152[[#This Row],[Masa nominal mN                              (g)]]+(tblBD_PatronMasa13152[[#This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02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tblBD_PatronMasa13152[[#This Row],[Masa nominal mN                              (g)]]+(tblBD_PatronMasa13152[[#This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02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tblBD_PatronMasa13152[[#This Row],[Masa nominal mN                              (g)]]+(tblBD_PatronMasa13152[[#This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02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tblBD_PatronMasa13152[[#This Row],[Masa nominal mN                              (g)]]+(tblBD_PatronMasa13152[[#This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02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tblBD_PatronMasa13152[[#This Row],[Masa nominal mN                              (g)]]+(tblBD_PatronMasa13152[[#This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02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tblBD_PatronMasa13152[[#This Row],[Masa nominal mN                              (g)]]+(tblBD_PatronMasa13152[[#This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02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tblBD_PatronMasa13152[[#This Row],[Masa nominal mN                              (g)]]+(tblBD_PatronMasa13152[[#This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02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tblBD_PatronMasa13152[[#This Row],[Masa nominal mN                              (g)]]+(tblBD_PatronMasa13152[[#This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02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tblBD_PatronMasa13152[[#This Row],[Masa nominal mN                              (g)]]+(tblBD_PatronMasa13152[[#This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02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tblBD_PatronMasa13152[[#This Row],[Masa nominal mN                              (g)]]+(tblBD_PatronMasa13152[[#This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02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tblBD_PatronMasa13152[[#This Row],[Masa nominal mN                              (g)]]+(tblBD_PatronMasa13152[[#This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02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tblBD_PatronMasa13152[[#This Row],[Masa nominal mN                              (g)]]+(tblBD_PatronMasa13152[[#This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02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tblBD_PatronMasa13152[[#This Row],[Masa nominal mN                              (g)]]+(tblBD_PatronMasa13152[[#This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02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tblBD_PatronMasa13152[[#This Row],[Masa nominal mN                              (g)]]+(tblBD_PatronMasa13152[[#This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02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tblBD_PatronMasa13152[[#This Row],[Masa nominal mN                              (g)]]+(tblBD_PatronMasa13152[[#This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02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tblBD_PatronMasa13152[[#This Row],[Masa nominal mN                              (g)]]+(tblBD_PatronMasa13152[[#This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02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tblBD_PatronMasa13152[[#This Row],[Masa nominal mN                              (g)]]+(tblBD_PatronMasa13152[[#This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02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tblBD_PatronMasa13152[[#This Row],[Masa nominal mN                              (g)]]+(tblBD_PatronMasa13152[[#This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02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tblBD_PatronMasa13152[[#This Row],[Masa nominal mN                              (g)]]+(tblBD_PatronMasa13152[[#This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02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tblBD_PatronMasa13152[[#This Row],[Masa nominal mN                              (g)]]+(tblBD_PatronMasa13152[[#This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02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tblBD_PatronMasa13152[[#This Row],[Masa nominal mN                              (g)]]+(tblBD_PatronMasa13152[[#This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02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tblBD_PatronMasa13152[[#This Row],[Masa nominal mN                              (g)]]+(tblBD_PatronMasa13152[[#This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02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tblBD_PatronMasa13152[[#This Row],[Masa nominal mN                              (g)]]+(tblBD_PatronMasa13152[[#This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02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tblBD_PatronMasa13152[[#This Row],[Masa nominal mN                              (g)]]+(tblBD_PatronMasa13152[[#This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02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tblBD_PatronMasa13152[[#This Row],[Masa nominal mN                              (g)]]+(tblBD_PatronMasa13152[[#This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02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tblBD_PatronMasa13152[[#This Row],[Masa nominal mN                              (g)]]+(tblBD_PatronMasa13152[[#This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02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tblBD_PatronMasa13152[[#This Row],[Masa nominal mN                              (g)]]+(tblBD_PatronMasa13152[[#This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02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tblBD_PatronMasa13152[[#This Row],[Masa nominal mN                              (g)]]+(tblBD_PatronMasa13152[[#This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02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tblBD_PatronMasa13152[[#This Row],[Masa nominal mN                              (g)]]+(tblBD_PatronMasa13152[[#This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02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tblBD_PatronMasa13152[[#This Row],[Masa nominal mN                              (g)]]+(tblBD_PatronMasa13152[[#This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02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tblBD_PatronMasa13152[[#This Row],[Masa nominal mN                              (g)]]+(tblBD_PatronMasa13152[[#This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02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tblBD_PatronMasa13152[[#This Row],[Masa nominal mN                              (g)]]+(tblBD_PatronMasa13152[[#This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02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tblBD_PatronMasa13152[[#This Row],[Masa nominal mN                              (g)]]+(tblBD_PatronMasa13152[[#This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02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tblBD_PatronMasa13152[[#This Row],[Masa nominal mN                              (g)]]+(tblBD_PatronMasa13152[[#This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02"/>
    </row>
    <row r="248" spans="8:26" x14ac:dyDescent="0.25">
      <c r="H248" s="280">
        <v>163</v>
      </c>
      <c r="I248" s="204"/>
      <c r="J248" s="202"/>
      <c r="K248" s="203"/>
      <c r="L248" s="214"/>
      <c r="M248" s="208"/>
      <c r="N248" s="266">
        <f>tblBD_PatronMasa13152[[#This Row],[Masa nominal mN                              (g)]]+(tblBD_PatronMasa13152[[#This Row],[Error certificado calibración δmc                  (mg)]])/1000</f>
        <v>0</v>
      </c>
      <c r="O248" s="206"/>
      <c r="P248" s="208"/>
      <c r="Q248" s="209"/>
      <c r="R248" s="208"/>
      <c r="S248" s="209"/>
      <c r="T248" s="210"/>
      <c r="U248" s="208"/>
      <c r="V248" s="202"/>
      <c r="W248" s="202"/>
      <c r="X248" s="202"/>
      <c r="Y248" s="202"/>
      <c r="Z248" s="202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datos!H43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datos!I43</f>
        <v>21.3</v>
      </c>
      <c r="O352" s="245">
        <f>(O353-O351)/(N353-N351)*(N352-N351)+O351</f>
        <v>0.1259919028340081</v>
      </c>
      <c r="P352" s="245">
        <f>(P353-P351)/(N353-N351)*(N352-N351)+P351</f>
        <v>0.25649797570850202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21.42599190283401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63.02332301341589</v>
      </c>
      <c r="S360" s="246">
        <f>N370+O370</f>
        <v>60.604643962848293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datos!H44</f>
        <v>59.1</v>
      </c>
      <c r="J370" s="249">
        <f>(J371-J369)/(I371-I369)*(I370-I369)+J369</f>
        <v>3.9233230134158923</v>
      </c>
      <c r="K370" s="249">
        <f>(K371-K369)/(I371-I369)*(I370-I369)+K369</f>
        <v>0.6</v>
      </c>
      <c r="L370" s="242"/>
      <c r="M370" s="243"/>
      <c r="N370" s="32">
        <f>datos!I44</f>
        <v>56.8</v>
      </c>
      <c r="O370" s="249">
        <f>(O371-O369)/(N371-N369)*(N370-N369)+O369</f>
        <v>3.8046439628482966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datos!H45*100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datos!I45*100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datos!H43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datos!I43</f>
        <v>21.3</v>
      </c>
      <c r="O406" s="245">
        <f>(O407-O405)/(N407-N405)*(N406-N405)+O405</f>
        <v>-0.1052</v>
      </c>
      <c r="P406" s="245">
        <f>(P407-P405)/(N407-N405)*(N406-N405)+P405</f>
        <v>0.25259999999999999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21.194800000000001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60.910989010989013</v>
      </c>
      <c r="S414" s="246">
        <f>N424+O424</f>
        <v>58.674175824175819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datos!H44</f>
        <v>59.1</v>
      </c>
      <c r="J424" s="249">
        <f>(J425-J423)/(I425-I423)*(I424-I423)+J423</f>
        <v>1.810989010989011</v>
      </c>
      <c r="K424" s="249">
        <f>(K425-K423)/(I425-I423)*(I424-I423)+K423</f>
        <v>1.3</v>
      </c>
      <c r="L424" s="242"/>
      <c r="M424" s="243"/>
      <c r="N424" s="32">
        <f>datos!I44</f>
        <v>56.8</v>
      </c>
      <c r="O424" s="249">
        <f>(O425-O423)/(N425-N423)*(N424-N423)+O423</f>
        <v>1.8741758241758242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datos!H45*100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datos!I45*100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datos!H43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datos!I43</f>
        <v>21.3</v>
      </c>
      <c r="O459" s="245">
        <f>(O460-O458)/(N460-N458)*(N459-N458)+O458</f>
        <v>-0.14760000000000006</v>
      </c>
      <c r="P459" s="245">
        <f>(P460-P458)/(N460-N458)*(N459-N458)+P458</f>
        <v>0.30160000000000003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21.1524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59.221978021978025</v>
      </c>
      <c r="S467" s="246">
        <f>N477+O477</f>
        <v>57.048351648351648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datos!H44</f>
        <v>59.1</v>
      </c>
      <c r="J477" s="249">
        <f>(J478-J476)/(I478-I476)*(I477-I476)+J476</f>
        <v>0.12197802197802199</v>
      </c>
      <c r="K477" s="249">
        <f>(K478-K476)/(I478-I476)*(I477-I476)+K476</f>
        <v>1.3</v>
      </c>
      <c r="L477" s="242"/>
      <c r="M477" s="243"/>
      <c r="N477" s="32">
        <f>datos!I44</f>
        <v>56.8</v>
      </c>
      <c r="O477" s="249">
        <f>(O478-O476)/(N478-N476)*(N477-N476)+O476</f>
        <v>0.24835164835164858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525"/>
      <c r="L481" s="525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526">
        <v>1</v>
      </c>
      <c r="L482" s="526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526">
        <v>2</v>
      </c>
      <c r="L483" s="526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526">
        <v>3</v>
      </c>
      <c r="L484" s="526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526">
        <v>4</v>
      </c>
      <c r="L485" s="526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526">
        <v>5</v>
      </c>
      <c r="L486" s="526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datos!H45*100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datos!I45*100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datos!H43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datos!I43</f>
        <v>21.3</v>
      </c>
      <c r="O513" s="245">
        <f>(O514-O512)/(N514-N512)*(N513-N512)+O512</f>
        <v>0.14366459627329192</v>
      </c>
      <c r="P513" s="245">
        <f>(P514-P512)/(N514-N512)*(N513-N512)+P512</f>
        <v>3.9229813664596276E-2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21.443664596273294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63.02332301341589</v>
      </c>
      <c r="S521" s="246">
        <f>N531+O531</f>
        <v>60.604643962848293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datos!H44</f>
        <v>59.1</v>
      </c>
      <c r="J531" s="249">
        <f>(J532-J530)/(I532-I530)*(I531-I530)+J530</f>
        <v>3.9233230134158923</v>
      </c>
      <c r="K531" s="249">
        <f>(K532-K530)/(I532-I530)*(I531-I530)+K530</f>
        <v>0.6</v>
      </c>
      <c r="L531" s="242"/>
      <c r="M531" s="243"/>
      <c r="N531" s="32">
        <f>datos!I44</f>
        <v>56.8</v>
      </c>
      <c r="O531" s="249">
        <f>(O532-O530)/(N532-N530)*(N531-N530)+O530</f>
        <v>3.8046439628482966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datos!H45*100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datos!I45*100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7" priority="6">
      <formula>M143&gt;P143</formula>
    </cfRule>
  </conditionalFormatting>
  <conditionalFormatting sqref="N97:N248">
    <cfRule type="cellIs" dxfId="76" priority="1" operator="lessThan">
      <formula>Z97</formula>
    </cfRule>
  </conditionalFormatting>
  <conditionalFormatting sqref="P97:P248">
    <cfRule type="expression" dxfId="75" priority="2">
      <formula>P97&gt;S97</formula>
    </cfRule>
  </conditionalFormatting>
  <hyperlinks>
    <hyperlink ref="BQ44" r:id="rId1" xr:uid="{00000000-0004-0000-0300-000000000000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9227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9227" r:id="rId5"/>
      </mc:Fallback>
    </mc:AlternateContent>
    <mc:AlternateContent xmlns:mc="http://schemas.openxmlformats.org/markup-compatibility/2006">
      <mc:Choice Requires="x14">
        <oleObject progId="Equation.3" shapeId="9228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9228" r:id="rId7"/>
      </mc:Fallback>
    </mc:AlternateContent>
    <mc:AlternateContent xmlns:mc="http://schemas.openxmlformats.org/markup-compatibility/2006">
      <mc:Choice Requires="x14">
        <oleObject progId="Equation.3" shapeId="9230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9230" r:id="rId9"/>
      </mc:Fallback>
    </mc:AlternateContent>
    <mc:AlternateContent xmlns:mc="http://schemas.openxmlformats.org/markup-compatibility/2006">
      <mc:Choice Requires="x14">
        <oleObject progId="Equation.3" shapeId="9231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9231" r:id="rId11"/>
      </mc:Fallback>
    </mc:AlternateContent>
    <mc:AlternateContent xmlns:mc="http://schemas.openxmlformats.org/markup-compatibility/2006">
      <mc:Choice Requires="x14">
        <oleObject progId="Equation.3" shapeId="9232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9232" r:id="rId13"/>
      </mc:Fallback>
    </mc:AlternateContent>
    <mc:AlternateContent xmlns:mc="http://schemas.openxmlformats.org/markup-compatibility/2006">
      <mc:Choice Requires="x14">
        <oleObject progId="Equation.3" shapeId="9233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9233" r:id="rId15"/>
      </mc:Fallback>
    </mc:AlternateContent>
    <mc:AlternateContent xmlns:mc="http://schemas.openxmlformats.org/markup-compatibility/2006">
      <mc:Choice Requires="x14">
        <oleObject progId="Equation.3" shapeId="9234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9234" r:id="rId17"/>
      </mc:Fallback>
    </mc:AlternateContent>
    <mc:AlternateContent xmlns:mc="http://schemas.openxmlformats.org/markup-compatibility/2006">
      <mc:Choice Requires="x14">
        <oleObject progId="Equation.3" shapeId="9235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9235" r:id="rId19"/>
      </mc:Fallback>
    </mc:AlternateContent>
    <mc:AlternateContent xmlns:mc="http://schemas.openxmlformats.org/markup-compatibility/2006">
      <mc:Choice Requires="x14">
        <oleObject progId="Equation.3" shapeId="9238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9238" r:id="rId20"/>
      </mc:Fallback>
    </mc:AlternateContent>
    <mc:AlternateContent xmlns:mc="http://schemas.openxmlformats.org/markup-compatibility/2006">
      <mc:Choice Requires="x14">
        <oleObject progId="Equation.3" shapeId="9239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9239" r:id="rId22"/>
      </mc:Fallback>
    </mc:AlternateContent>
    <mc:AlternateContent xmlns:mc="http://schemas.openxmlformats.org/markup-compatibility/2006">
      <mc:Choice Requires="x14">
        <oleObject progId="Equation.3" shapeId="9256" r:id="rId24">
          <objectPr defaultSize="0" autoPict="0" r:id="rId25">
            <anchor moveWithCells="1" sizeWithCells="1">
              <from>
                <xdr:col>6</xdr:col>
                <xdr:colOff>83820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175260</xdr:rowOff>
              </to>
            </anchor>
          </objectPr>
        </oleObject>
      </mc:Choice>
      <mc:Fallback>
        <oleObject progId="Equation.3" shapeId="9256" r:id="rId24"/>
      </mc:Fallback>
    </mc:AlternateContent>
  </oleObjects>
  <tableParts count="1">
    <tablePart r:id="rId26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558"/>
  <sheetViews>
    <sheetView topLeftCell="N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datos!G56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datos!C48</f>
        <v>N/A</v>
      </c>
      <c r="J5" s="569" t="str">
        <f>datos!C49</f>
        <v>N/A</v>
      </c>
      <c r="K5" s="569" t="str">
        <f>datos!C50</f>
        <v>N/A</v>
      </c>
      <c r="L5" s="569" t="str">
        <f>datos!C51</f>
        <v>N/A</v>
      </c>
      <c r="M5" s="569" t="str">
        <f>datos!C52</f>
        <v>N/A</v>
      </c>
      <c r="N5" s="569" t="str">
        <f>datos!C53</f>
        <v>N/A</v>
      </c>
      <c r="O5" s="569" t="str">
        <f>datos!C54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datos!C48</f>
        <v>N/A</v>
      </c>
      <c r="J6" s="569" t="str">
        <f>datos!C49</f>
        <v>N/A</v>
      </c>
      <c r="K6" s="569" t="str">
        <f>datos!C50</f>
        <v>N/A</v>
      </c>
      <c r="L6" s="569" t="str">
        <f>datos!C51</f>
        <v>N/A</v>
      </c>
      <c r="M6" s="569" t="str">
        <f>datos!C52</f>
        <v>N/A</v>
      </c>
      <c r="N6" s="569" t="str">
        <f>datos!C53</f>
        <v>N/A</v>
      </c>
      <c r="O6" s="569" t="str">
        <f>datos!C54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55.158241758241758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datos!E56</f>
        <v>0</v>
      </c>
      <c r="D7" s="118" t="str">
        <f>datos!F56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20.488800000000001</v>
      </c>
      <c r="AD7" s="192">
        <f>C31</f>
        <v>54.402197802197804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20.346600000000002</v>
      </c>
      <c r="AD8" s="366">
        <f>AVERAGE(AD6:AD7)</f>
        <v>54.780219780219781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1.1827425900701012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20.488800000000001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55.158241758241758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20.346600000000002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20.2044</v>
      </c>
      <c r="AZ15" s="368" t="s">
        <v>7</v>
      </c>
      <c r="BA15" s="477">
        <f>AVERAGE(AY14:AY15)</f>
        <v>20.346600000000002</v>
      </c>
      <c r="BB15" s="181"/>
      <c r="BC15" s="175"/>
      <c r="BD15" s="378"/>
      <c r="BE15" s="366" t="s">
        <v>492</v>
      </c>
      <c r="BF15" s="477">
        <f>MIN(AD6:AD7)</f>
        <v>54.402197802197804</v>
      </c>
      <c r="BG15" s="368" t="s">
        <v>42</v>
      </c>
      <c r="BH15" s="478">
        <f>AVERAGE(BF14:BF15)</f>
        <v>54.780219780219781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datos!H56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413.98413156000009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293.4966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2.6020336981542224E-5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413.98413156000009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293.4966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293.4966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86140.254211559994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1.0039950307736736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2389.862459055068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datos!I56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datos!D55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datos!C58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5.8052906903961643E-2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0.15432682628524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datos!C59</f>
        <v>0</v>
      </c>
      <c r="J25" s="78">
        <f>datos!D59</f>
        <v>0</v>
      </c>
      <c r="K25" s="78">
        <f>datos!E59</f>
        <v>0</v>
      </c>
      <c r="L25" s="78">
        <f>datos!F59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20.488800000000001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datos!C60</f>
        <v>0</v>
      </c>
      <c r="J26" s="78">
        <f>datos!D60</f>
        <v>0</v>
      </c>
      <c r="K26" s="78">
        <f>datos!E60</f>
        <v>0</v>
      </c>
      <c r="L26" s="78">
        <f>datos!F60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datos!C61</f>
        <v>0</v>
      </c>
      <c r="J27" s="78">
        <f>datos!D61</f>
        <v>0</v>
      </c>
      <c r="K27" s="78">
        <f>datos!E61</f>
        <v>0</v>
      </c>
      <c r="L27" s="78">
        <f>datos!F61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datos!I56</f>
        <v>NI-MCPPT-06</v>
      </c>
      <c r="D28" s="758"/>
      <c r="E28" s="759"/>
      <c r="I28" s="78">
        <f>datos!C62</f>
        <v>0</v>
      </c>
      <c r="J28" s="78">
        <f>datos!D62</f>
        <v>0</v>
      </c>
      <c r="K28" s="78">
        <f>datos!E62</f>
        <v>0</v>
      </c>
      <c r="L28" s="78">
        <f>datos!F62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0.21978051172324939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0.6686928313094197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6.6869283130941972E-3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55.158241758241758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54.402197802197804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0.9996180762958814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-0.14225124558209257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datos!I56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0.21978051172324939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0.9996180762958814</v>
      </c>
      <c r="AS37" s="368"/>
      <c r="AT37" s="181"/>
      <c r="AU37" s="175"/>
      <c r="AV37" s="378"/>
      <c r="AW37" s="366" t="s">
        <v>288</v>
      </c>
      <c r="AX37" s="405">
        <f>BH29</f>
        <v>6.6869283130941972E-3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2.6020336981542224E-5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293.4966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0.54780219780219785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1.3130640772791365E-2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1.0039950307736736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2389.862459055068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0.9996180762958814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1.0039950307736736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2389.862459055068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293.4966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1.3130640772791365E-2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1.3130640772791365E-2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1.72413727104091E-4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1.1827425900701012E-5</v>
      </c>
      <c r="AT46" s="181"/>
      <c r="AU46" s="175"/>
      <c r="AV46" s="378"/>
      <c r="AW46" s="723">
        <f>SQRT((AS46*AX35)^2+(AS49*AX36)^2+(AS52*AX37)^2+(AX38^2)+(AS57*BR41)^2)</f>
        <v>9.5111902755466314E-4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1.1827425900701012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4.021324806238344E-3</v>
      </c>
      <c r="AT49" s="181"/>
      <c r="AU49" s="175"/>
      <c r="AV49" s="366">
        <f>AW46*2</f>
        <v>1.9022380551093263E-3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1.1827425900701012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9.5111902755466314E-4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-1.1827425900701013E-2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1.9022380551093263E-3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-0.14225124558209257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tblBD_PatronMasa13153[[#This Row],[Masa nominal mN                              (g)]]+(tblBD_PatronMasa13153[[#This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tblBD_PatronMasa13153[[#This Row],[Masa nominal mN                              (g)]]+(tblBD_PatronMasa13153[[#This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tblBD_PatronMasa13153[[#This Row],[Masa nominal mN                              (g)]]+(tblBD_PatronMasa13153[[#This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tblBD_PatronMasa13153[[#This Row],[Masa nominal mN                              (g)]]+(tblBD_PatronMasa13153[[#This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tblBD_PatronMasa13153[[#This Row],[Masa nominal mN                              (g)]]+(tblBD_PatronMasa13153[[#This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tblBD_PatronMasa13153[[#This Row],[Masa nominal mN                              (g)]]+(tblBD_PatronMasa13153[[#This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tblBD_PatronMasa13153[[#This Row],[Masa nominal mN                              (g)]]+(tblBD_PatronMasa13153[[#This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tblBD_PatronMasa13153[[#This Row],[Masa nominal mN                              (g)]]+(tblBD_PatronMasa13153[[#This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tblBD_PatronMasa13153[[#This Row],[Masa nominal mN                              (g)]]+(tblBD_PatronMasa13153[[#This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tblBD_PatronMasa13153[[#This Row],[Masa nominal mN                              (g)]]+(tblBD_PatronMasa13153[[#This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tblBD_PatronMasa13153[[#This Row],[Masa nominal mN                              (g)]]+(tblBD_PatronMasa13153[[#This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tblBD_PatronMasa13153[[#This Row],[Masa nominal mN                              (g)]]+(tblBD_PatronMasa13153[[#This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tblBD_PatronMasa13153[[#This Row],[Masa nominal mN                              (g)]]+(tblBD_PatronMasa13153[[#This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tblBD_PatronMasa13153[[#This Row],[Masa nominal mN                              (g)]]+(tblBD_PatronMasa13153[[#This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tblBD_PatronMasa13153[[#This Row],[Masa nominal mN                              (g)]]+(tblBD_PatronMasa13153[[#This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tblBD_PatronMasa13153[[#This Row],[Masa nominal mN                              (g)]]+(tblBD_PatronMasa13153[[#This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tblBD_PatronMasa13153[[#This Row],[Masa nominal mN                              (g)]]+(tblBD_PatronMasa13153[[#This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tblBD_PatronMasa13153[[#This Row],[Masa nominal mN                              (g)]]+(tblBD_PatronMasa13153[[#This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tblBD_PatronMasa13153[[#This Row],[Masa nominal mN                              (g)]]+(tblBD_PatronMasa13153[[#This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tblBD_PatronMasa13153[[#This Row],[Masa nominal mN                              (g)]]+(tblBD_PatronMasa13153[[#This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tblBD_PatronMasa13153[[#This Row],[Masa nominal mN                              (g)]]+(tblBD_PatronMasa13153[[#This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tblBD_PatronMasa13153[[#This Row],[Masa nominal mN                              (g)]]+(tblBD_PatronMasa13153[[#This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tblBD_PatronMasa13153[[#This Row],[Masa nominal mN                              (g)]]+(tblBD_PatronMasa13153[[#This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tblBD_PatronMasa13153[[#This Row],[Masa nominal mN                              (g)]]+(tblBD_PatronMasa13153[[#This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tblBD_PatronMasa13153[[#This Row],[Masa nominal mN                              (g)]]+(tblBD_PatronMasa13153[[#This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tblBD_PatronMasa13153[[#This Row],[Masa nominal mN                              (g)]]+(tblBD_PatronMasa13153[[#This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tblBD_PatronMasa13153[[#This Row],[Masa nominal mN                              (g)]]+(tblBD_PatronMasa13153[[#This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tblBD_PatronMasa13153[[#This Row],[Masa nominal mN                              (g)]]+(tblBD_PatronMasa13153[[#This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tblBD_PatronMasa13153[[#This Row],[Masa nominal mN                              (g)]]+(tblBD_PatronMasa13153[[#This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tblBD_PatronMasa13153[[#This Row],[Masa nominal mN                              (g)]]+(tblBD_PatronMasa13153[[#This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tblBD_PatronMasa13153[[#This Row],[Masa nominal mN                              (g)]]+(tblBD_PatronMasa13153[[#This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tblBD_PatronMasa13153[[#This Row],[Masa nominal mN                              (g)]]+(tblBD_PatronMasa13153[[#This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tblBD_PatronMasa13153[[#This Row],[Masa nominal mN                              (g)]]+(tblBD_PatronMasa13153[[#This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tblBD_PatronMasa13153[[#This Row],[Masa nominal mN                              (g)]]+(tblBD_PatronMasa13153[[#This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tblBD_PatronMasa13153[[#This Row],[Masa nominal mN                              (g)]]+(tblBD_PatronMasa13153[[#This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tblBD_PatronMasa13153[[#This Row],[Masa nominal mN                              (g)]]+(tblBD_PatronMasa13153[[#This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tblBD_PatronMasa13153[[#This Row],[Masa nominal mN                              (g)]]+(tblBD_PatronMasa13153[[#This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tblBD_PatronMasa13153[[#This Row],[Masa nominal mN                              (g)]]+(tblBD_PatronMasa13153[[#This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tblBD_PatronMasa13153[[#This Row],[Masa nominal mN                              (g)]]+(tblBD_PatronMasa13153[[#This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tblBD_PatronMasa13153[[#This Row],[Masa nominal mN                              (g)]]+(tblBD_PatronMasa13153[[#This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tblBD_PatronMasa13153[[#This Row],[Masa nominal mN                              (g)]]+(tblBD_PatronMasa13153[[#This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tblBD_PatronMasa13153[[#This Row],[Masa nominal mN                              (g)]]+(tblBD_PatronMasa13153[[#This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tblBD_PatronMasa13153[[#This Row],[Masa nominal mN                              (g)]]+(tblBD_PatronMasa13153[[#This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tblBD_PatronMasa13153[[#This Row],[Masa nominal mN                              (g)]]+(tblBD_PatronMasa13153[[#This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tblBD_PatronMasa13153[[#This Row],[Masa nominal mN                              (g)]]+(tblBD_PatronMasa13153[[#This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tblBD_PatronMasa13153[[#This Row],[Masa nominal mN                              (g)]]+(tblBD_PatronMasa13153[[#This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tblBD_PatronMasa13153[[#This Row],[Masa nominal mN                              (g)]]+(tblBD_PatronMasa13153[[#This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tblBD_PatronMasa13153[[#This Row],[Masa nominal mN                              (g)]]+(tblBD_PatronMasa13153[[#This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tblBD_PatronMasa13153[[#This Row],[Masa nominal mN                              (g)]]+(tblBD_PatronMasa13153[[#This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tblBD_PatronMasa13153[[#This Row],[Masa nominal mN                              (g)]]+(tblBD_PatronMasa13153[[#This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tblBD_PatronMasa13153[[#This Row],[Masa nominal mN                              (g)]]+(tblBD_PatronMasa13153[[#This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tblBD_PatronMasa13153[[#This Row],[Masa nominal mN                              (g)]]+(tblBD_PatronMasa13153[[#This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tblBD_PatronMasa13153[[#This Row],[Masa nominal mN                              (g)]]+(tblBD_PatronMasa13153[[#This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tblBD_PatronMasa13153[[#This Row],[Masa nominal mN                              (g)]]+(tblBD_PatronMasa13153[[#This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tblBD_PatronMasa13153[[#This Row],[Masa nominal mN                              (g)]]+(tblBD_PatronMasa13153[[#This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tblBD_PatronMasa13153[[#This Row],[Masa nominal mN                              (g)]]+(tblBD_PatronMasa13153[[#This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datos!H56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datos!I56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datos!H60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datos!I60</f>
        <v>20.6</v>
      </c>
      <c r="O352" s="245">
        <f>(O353-O351)/(N353-N351)*(N352-N351)+O351</f>
        <v>0.12315789473684211</v>
      </c>
      <c r="P352" s="245">
        <f>(P353-P351)/(N353-N351)*(N352-N351)+P351</f>
        <v>0.25578947368421051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20.723157894736843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57.968996188055904</v>
      </c>
      <c r="S360" s="246">
        <f>N370+O370</f>
        <v>56.904701397712834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datos!H61</f>
        <v>54.8</v>
      </c>
      <c r="J370" s="249">
        <f>(J371-J369)/(I371-I369)*(I370-I369)+J369</f>
        <v>3.1689961880559068</v>
      </c>
      <c r="K370" s="249">
        <f>(K371-K369)/(I371-I369)*(I370-I369)+K369</f>
        <v>0.6</v>
      </c>
      <c r="L370" s="242"/>
      <c r="M370" s="243"/>
      <c r="N370" s="32">
        <f>datos!I61</f>
        <v>54</v>
      </c>
      <c r="O370" s="249">
        <f>(O371-O369)/(N371-N369)*(N370-N369)+O369</f>
        <v>2.9047013977128326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datos!H62*100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datos!I62*100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datos!H60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datos!I60</f>
        <v>20.6</v>
      </c>
      <c r="O406" s="245">
        <f>(O407-O405)/(N407-N405)*(N406-N405)+O405</f>
        <v>-0.1024</v>
      </c>
      <c r="P406" s="245">
        <f>(P407-P405)/(N407-N405)*(N406-N405)+P405</f>
        <v>0.25119999999999998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20.497600000000002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56.729120879120877</v>
      </c>
      <c r="S414" s="246">
        <f>N424+O424</f>
        <v>55.951098901098902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datos!H61</f>
        <v>54.8</v>
      </c>
      <c r="J424" s="249">
        <f>(J425-J423)/(I425-I423)*(I424-I423)+J423</f>
        <v>1.9291208791208792</v>
      </c>
      <c r="K424" s="249">
        <f>(K425-K423)/(I425-I423)*(I424-I423)+K423</f>
        <v>1.3</v>
      </c>
      <c r="L424" s="242"/>
      <c r="M424" s="243"/>
      <c r="N424" s="32">
        <f>datos!I61</f>
        <v>54</v>
      </c>
      <c r="O424" s="249">
        <f>(O425-O423)/(N425-N423)*(N424-N423)+O423</f>
        <v>1.9510989010989011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datos!H62*100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datos!I62*100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datos!H60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datos!I60</f>
        <v>20.6</v>
      </c>
      <c r="O459" s="245">
        <f>(O460-O458)/(N460-N458)*(N459-N458)+O458</f>
        <v>-0.11120000000000008</v>
      </c>
      <c r="P459" s="245">
        <f>(P460-P458)/(N460-N458)*(N459-N458)+P458</f>
        <v>0.27920000000000006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20.488800000000001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55.158241758241758</v>
      </c>
      <c r="S467" s="246">
        <f>N477+O477</f>
        <v>54.402197802197804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datos!H61</f>
        <v>54.8</v>
      </c>
      <c r="J477" s="249">
        <f>(J478-J476)/(I478-I476)*(I477-I476)+J476</f>
        <v>0.35824175824175841</v>
      </c>
      <c r="K477" s="249">
        <f>(K478-K476)/(I478-I476)*(I477-I476)+K476</f>
        <v>1.3</v>
      </c>
      <c r="L477" s="242"/>
      <c r="M477" s="243"/>
      <c r="N477" s="32">
        <f>datos!I61</f>
        <v>54</v>
      </c>
      <c r="O477" s="249">
        <f>(O478-O476)/(N478-N476)*(N477-N476)+O476</f>
        <v>0.40219780219780221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datos!H62*100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datos!I62*100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datos!H60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datos!I60</f>
        <v>20.6</v>
      </c>
      <c r="O513" s="245">
        <f>(O514-O512)/(N514-N512)*(N513-N512)+O512</f>
        <v>0.11612836438923396</v>
      </c>
      <c r="P513" s="245">
        <f>(P514-P512)/(N514-N512)*(N513-N512)+P512</f>
        <v>3.9084886128364388E-2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20.716128364389235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57.968996188055904</v>
      </c>
      <c r="S521" s="246">
        <f>N531+O531</f>
        <v>56.904701397712834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datos!H61</f>
        <v>54.8</v>
      </c>
      <c r="J531" s="249">
        <f>(J532-J530)/(I532-I530)*(I531-I530)+J530</f>
        <v>3.1689961880559068</v>
      </c>
      <c r="K531" s="249">
        <f>(K532-K530)/(I532-I530)*(I531-I530)+K530</f>
        <v>0.6</v>
      </c>
      <c r="L531" s="242"/>
      <c r="M531" s="243"/>
      <c r="N531" s="32">
        <f>datos!I61</f>
        <v>54</v>
      </c>
      <c r="O531" s="249">
        <f>(O532-O530)/(N532-N530)*(N531-N530)+O530</f>
        <v>2.9047013977128326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datos!H62*100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datos!I62*100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4" priority="20">
      <formula>M143&gt;P143</formula>
    </cfRule>
  </conditionalFormatting>
  <conditionalFormatting sqref="N97:N248">
    <cfRule type="cellIs" dxfId="73" priority="1" operator="lessThan">
      <formula>Z97</formula>
    </cfRule>
  </conditionalFormatting>
  <conditionalFormatting sqref="P97:P248">
    <cfRule type="expression" dxfId="72" priority="2">
      <formula>P97&gt;S97</formula>
    </cfRule>
  </conditionalFormatting>
  <hyperlinks>
    <hyperlink ref="BQ44" r:id="rId1" xr:uid="{00000000-0004-0000-0400-000000000000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10251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0251" r:id="rId5"/>
      </mc:Fallback>
    </mc:AlternateContent>
    <mc:AlternateContent xmlns:mc="http://schemas.openxmlformats.org/markup-compatibility/2006">
      <mc:Choice Requires="x14">
        <oleObject progId="Equation.3" shapeId="10252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0252" r:id="rId7"/>
      </mc:Fallback>
    </mc:AlternateContent>
    <mc:AlternateContent xmlns:mc="http://schemas.openxmlformats.org/markup-compatibility/2006">
      <mc:Choice Requires="x14">
        <oleObject progId="Equation.3" shapeId="10254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0254" r:id="rId9"/>
      </mc:Fallback>
    </mc:AlternateContent>
    <mc:AlternateContent xmlns:mc="http://schemas.openxmlformats.org/markup-compatibility/2006">
      <mc:Choice Requires="x14">
        <oleObject progId="Equation.3" shapeId="10255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0255" r:id="rId11"/>
      </mc:Fallback>
    </mc:AlternateContent>
    <mc:AlternateContent xmlns:mc="http://schemas.openxmlformats.org/markup-compatibility/2006">
      <mc:Choice Requires="x14">
        <oleObject progId="Equation.3" shapeId="10256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0256" r:id="rId13"/>
      </mc:Fallback>
    </mc:AlternateContent>
    <mc:AlternateContent xmlns:mc="http://schemas.openxmlformats.org/markup-compatibility/2006">
      <mc:Choice Requires="x14">
        <oleObject progId="Equation.3" shapeId="10257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0257" r:id="rId15"/>
      </mc:Fallback>
    </mc:AlternateContent>
    <mc:AlternateContent xmlns:mc="http://schemas.openxmlformats.org/markup-compatibility/2006">
      <mc:Choice Requires="x14">
        <oleObject progId="Equation.3" shapeId="10258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0258" r:id="rId17"/>
      </mc:Fallback>
    </mc:AlternateContent>
    <mc:AlternateContent xmlns:mc="http://schemas.openxmlformats.org/markup-compatibility/2006">
      <mc:Choice Requires="x14">
        <oleObject progId="Equation.3" shapeId="10259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0259" r:id="rId19"/>
      </mc:Fallback>
    </mc:AlternateContent>
    <mc:AlternateContent xmlns:mc="http://schemas.openxmlformats.org/markup-compatibility/2006">
      <mc:Choice Requires="x14">
        <oleObject progId="Equation.3" shapeId="10262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0262" r:id="rId20"/>
      </mc:Fallback>
    </mc:AlternateContent>
    <mc:AlternateContent xmlns:mc="http://schemas.openxmlformats.org/markup-compatibility/2006">
      <mc:Choice Requires="x14">
        <oleObject progId="Equation.3" shapeId="10263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0263" r:id="rId22"/>
      </mc:Fallback>
    </mc:AlternateContent>
    <mc:AlternateContent xmlns:mc="http://schemas.openxmlformats.org/markup-compatibility/2006">
      <mc:Choice Requires="x14">
        <oleObject progId="Equation.3" shapeId="10280" r:id="rId24">
          <objectPr defaultSize="0" autoPict="0" r:id="rId25">
            <anchor moveWithCells="1" sizeWithCells="1">
              <from>
                <xdr:col>7</xdr:col>
                <xdr:colOff>518160</xdr:colOff>
                <xdr:row>38</xdr:row>
                <xdr:rowOff>182880</xdr:rowOff>
              </from>
              <to>
                <xdr:col>10</xdr:col>
                <xdr:colOff>68580</xdr:colOff>
                <xdr:row>43</xdr:row>
                <xdr:rowOff>198120</xdr:rowOff>
              </to>
            </anchor>
          </objectPr>
        </oleObject>
      </mc:Choice>
      <mc:Fallback>
        <oleObject progId="Equation.3" shapeId="10280" r:id="rId24"/>
      </mc:Fallback>
    </mc:AlternateContent>
  </oleObjects>
  <tableParts count="1">
    <tablePart r:id="rId26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U558"/>
  <sheetViews>
    <sheetView topLeftCell="M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datos!G73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datos!C65</f>
        <v>N/A</v>
      </c>
      <c r="J5" s="569" t="str">
        <f>datos!C66</f>
        <v>N/A</v>
      </c>
      <c r="K5" s="569" t="str">
        <f>datos!C67</f>
        <v>N/A</v>
      </c>
      <c r="L5" s="569" t="str">
        <f>datos!C68</f>
        <v>N/A</v>
      </c>
      <c r="M5" s="569" t="str">
        <f>datos!C69</f>
        <v>N/A</v>
      </c>
      <c r="N5" s="569" t="str">
        <f>datos!C70</f>
        <v>N/A</v>
      </c>
      <c r="O5" s="569" t="str">
        <f>datos!C71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datos!C65</f>
        <v>N/A</v>
      </c>
      <c r="J6" s="569" t="str">
        <f>datos!C66</f>
        <v>N/A</v>
      </c>
      <c r="K6" s="569" t="str">
        <f>datos!C67</f>
        <v>N/A</v>
      </c>
      <c r="L6" s="569" t="str">
        <f>datos!C68</f>
        <v>N/A</v>
      </c>
      <c r="M6" s="569" t="str">
        <f>datos!C69</f>
        <v>N/A</v>
      </c>
      <c r="N6" s="569" t="str">
        <f>datos!C70</f>
        <v>N/A</v>
      </c>
      <c r="O6" s="569" t="str">
        <f>datos!C71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20.2044</v>
      </c>
      <c r="AD6" s="192">
        <f>C30</f>
        <v>43.723076923076924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datos!$E$73</f>
        <v>0</v>
      </c>
      <c r="D7" s="118" t="str">
        <f>datos!F73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43.061538461538461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43.392307692307696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1.1849865393486616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43.723076923076924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20.014800000000001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43.061538461538461</v>
      </c>
      <c r="BG15" s="368" t="s">
        <v>42</v>
      </c>
      <c r="BH15" s="478">
        <f>AVERAGE(BF14:BF15)</f>
        <v>43.392307692307696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datos!H73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2.6069703865670556E-5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datos!I73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datos!D72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datos!$C$75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3.8701937935973943E-2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0.13503597299958572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20.2044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datos!C76</f>
        <v>0</v>
      </c>
      <c r="J25" s="78">
        <f>datos!D76</f>
        <v>0</v>
      </c>
      <c r="K25" s="78">
        <f>datos!E76</f>
        <v>0</v>
      </c>
      <c r="L25" s="78">
        <f>datos!F76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datos!C77</f>
        <v>0</v>
      </c>
      <c r="J26" s="78">
        <f>datos!D77</f>
        <v>0</v>
      </c>
      <c r="K26" s="78">
        <f>datos!E77</f>
        <v>0</v>
      </c>
      <c r="L26" s="78">
        <f>datos!F77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datos!C78</f>
        <v>0</v>
      </c>
      <c r="J27" s="78">
        <f>datos!D78</f>
        <v>0</v>
      </c>
      <c r="K27" s="78">
        <f>datos!E78</f>
        <v>0</v>
      </c>
      <c r="L27" s="78">
        <f>datos!F78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datos!I73</f>
        <v>NI-MCPPT-06</v>
      </c>
      <c r="D28" s="758"/>
      <c r="E28" s="759"/>
      <c r="I28" s="78">
        <f>datos!C79</f>
        <v>0</v>
      </c>
      <c r="J28" s="78">
        <f>datos!D79</f>
        <v>0</v>
      </c>
      <c r="K28" s="78">
        <f>datos!E79</f>
        <v>0</v>
      </c>
      <c r="L28" s="78">
        <f>datos!F79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0.21547893941945534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0.66450586704503833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6.6450586704503833E-3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43.723076923076924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43.061538461538461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0.99962444544489371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-0.14252113066324057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datos!I73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0.21547893941945534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0.99962444544489371</v>
      </c>
      <c r="AS37" s="368"/>
      <c r="AT37" s="181"/>
      <c r="AU37" s="175"/>
      <c r="AV37" s="378"/>
      <c r="AW37" s="366" t="s">
        <v>288</v>
      </c>
      <c r="AX37" s="405">
        <f>BH29</f>
        <v>6.6450586704503833E-3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2.6069703865670556E-5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0.43392307692307697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1.0249616187600058E-2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0.99962444544489371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1.0249616187600058E-2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1.0249616187600058E-2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1.0505463199311316E-4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1.1849865393486617E-5</v>
      </c>
      <c r="AT46" s="181"/>
      <c r="AU46" s="175"/>
      <c r="AV46" s="378"/>
      <c r="AW46" s="723">
        <f>SQRT((AS46*AX35)^2+(AS49*AX36)^2+(AS52*AX37)^2+(AX38^2)+(AS57*BR41)^2)</f>
        <v>9.3679923943452937E-4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1.1849865393486616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4.0289542337854489E-3</v>
      </c>
      <c r="AT49" s="181"/>
      <c r="AU49" s="175"/>
      <c r="AV49" s="366">
        <f>AW46*2</f>
        <v>1.8735984788690587E-3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1.1849865393486616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9.3679923943452937E-4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-1.1849865393486616E-2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1.8735984788690587E-3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-0.14252113066324057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tblBD_PatronMasa13154[[#This Row],[Masa nominal mN                              (g)]]+(tblBD_PatronMasa13154[[#This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tblBD_PatronMasa13154[[#This Row],[Masa nominal mN                              (g)]]+(tblBD_PatronMasa13154[[#This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tblBD_PatronMasa13154[[#This Row],[Masa nominal mN                              (g)]]+(tblBD_PatronMasa13154[[#This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tblBD_PatronMasa13154[[#This Row],[Masa nominal mN                              (g)]]+(tblBD_PatronMasa13154[[#This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tblBD_PatronMasa13154[[#This Row],[Masa nominal mN                              (g)]]+(tblBD_PatronMasa13154[[#This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tblBD_PatronMasa13154[[#This Row],[Masa nominal mN                              (g)]]+(tblBD_PatronMasa13154[[#This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tblBD_PatronMasa13154[[#This Row],[Masa nominal mN                              (g)]]+(tblBD_PatronMasa13154[[#This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tblBD_PatronMasa13154[[#This Row],[Masa nominal mN                              (g)]]+(tblBD_PatronMasa13154[[#This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tblBD_PatronMasa13154[[#This Row],[Masa nominal mN                              (g)]]+(tblBD_PatronMasa13154[[#This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tblBD_PatronMasa13154[[#This Row],[Masa nominal mN                              (g)]]+(tblBD_PatronMasa13154[[#This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tblBD_PatronMasa13154[[#This Row],[Masa nominal mN                              (g)]]+(tblBD_PatronMasa13154[[#This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tblBD_PatronMasa13154[[#This Row],[Masa nominal mN                              (g)]]+(tblBD_PatronMasa13154[[#This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tblBD_PatronMasa13154[[#This Row],[Masa nominal mN                              (g)]]+(tblBD_PatronMasa13154[[#This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tblBD_PatronMasa13154[[#This Row],[Masa nominal mN                              (g)]]+(tblBD_PatronMasa13154[[#This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tblBD_PatronMasa13154[[#This Row],[Masa nominal mN                              (g)]]+(tblBD_PatronMasa13154[[#This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tblBD_PatronMasa13154[[#This Row],[Masa nominal mN                              (g)]]+(tblBD_PatronMasa13154[[#This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tblBD_PatronMasa13154[[#This Row],[Masa nominal mN                              (g)]]+(tblBD_PatronMasa13154[[#This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tblBD_PatronMasa13154[[#This Row],[Masa nominal mN                              (g)]]+(tblBD_PatronMasa13154[[#This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tblBD_PatronMasa13154[[#This Row],[Masa nominal mN                              (g)]]+(tblBD_PatronMasa13154[[#This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tblBD_PatronMasa13154[[#This Row],[Masa nominal mN                              (g)]]+(tblBD_PatronMasa13154[[#This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tblBD_PatronMasa13154[[#This Row],[Masa nominal mN                              (g)]]+(tblBD_PatronMasa13154[[#This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tblBD_PatronMasa13154[[#This Row],[Masa nominal mN                              (g)]]+(tblBD_PatronMasa13154[[#This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tblBD_PatronMasa13154[[#This Row],[Masa nominal mN                              (g)]]+(tblBD_PatronMasa13154[[#This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tblBD_PatronMasa13154[[#This Row],[Masa nominal mN                              (g)]]+(tblBD_PatronMasa13154[[#This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tblBD_PatronMasa13154[[#This Row],[Masa nominal mN                              (g)]]+(tblBD_PatronMasa13154[[#This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tblBD_PatronMasa13154[[#This Row],[Masa nominal mN                              (g)]]+(tblBD_PatronMasa13154[[#This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tblBD_PatronMasa13154[[#This Row],[Masa nominal mN                              (g)]]+(tblBD_PatronMasa13154[[#This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tblBD_PatronMasa13154[[#This Row],[Masa nominal mN                              (g)]]+(tblBD_PatronMasa13154[[#This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tblBD_PatronMasa13154[[#This Row],[Masa nominal mN                              (g)]]+(tblBD_PatronMasa13154[[#This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tblBD_PatronMasa13154[[#This Row],[Masa nominal mN                              (g)]]+(tblBD_PatronMasa13154[[#This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tblBD_PatronMasa13154[[#This Row],[Masa nominal mN                              (g)]]+(tblBD_PatronMasa13154[[#This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tblBD_PatronMasa13154[[#This Row],[Masa nominal mN                              (g)]]+(tblBD_PatronMasa13154[[#This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tblBD_PatronMasa13154[[#This Row],[Masa nominal mN                              (g)]]+(tblBD_PatronMasa13154[[#This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tblBD_PatronMasa13154[[#This Row],[Masa nominal mN                              (g)]]+(tblBD_PatronMasa13154[[#This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tblBD_PatronMasa13154[[#This Row],[Masa nominal mN                              (g)]]+(tblBD_PatronMasa13154[[#This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tblBD_PatronMasa13154[[#This Row],[Masa nominal mN                              (g)]]+(tblBD_PatronMasa13154[[#This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tblBD_PatronMasa13154[[#This Row],[Masa nominal mN                              (g)]]+(tblBD_PatronMasa13154[[#This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tblBD_PatronMasa13154[[#This Row],[Masa nominal mN                              (g)]]+(tblBD_PatronMasa13154[[#This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tblBD_PatronMasa13154[[#This Row],[Masa nominal mN                              (g)]]+(tblBD_PatronMasa13154[[#This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tblBD_PatronMasa13154[[#This Row],[Masa nominal mN                              (g)]]+(tblBD_PatronMasa13154[[#This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tblBD_PatronMasa13154[[#This Row],[Masa nominal mN                              (g)]]+(tblBD_PatronMasa13154[[#This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tblBD_PatronMasa13154[[#This Row],[Masa nominal mN                              (g)]]+(tblBD_PatronMasa13154[[#This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tblBD_PatronMasa13154[[#This Row],[Masa nominal mN                              (g)]]+(tblBD_PatronMasa13154[[#This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tblBD_PatronMasa13154[[#This Row],[Masa nominal mN                              (g)]]+(tblBD_PatronMasa13154[[#This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tblBD_PatronMasa13154[[#This Row],[Masa nominal mN                              (g)]]+(tblBD_PatronMasa13154[[#This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tblBD_PatronMasa13154[[#This Row],[Masa nominal mN                              (g)]]+(tblBD_PatronMasa13154[[#This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tblBD_PatronMasa13154[[#This Row],[Masa nominal mN                              (g)]]+(tblBD_PatronMasa13154[[#This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tblBD_PatronMasa13154[[#This Row],[Masa nominal mN                              (g)]]+(tblBD_PatronMasa13154[[#This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tblBD_PatronMasa13154[[#This Row],[Masa nominal mN                              (g)]]+(tblBD_PatronMasa13154[[#This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tblBD_PatronMasa13154[[#This Row],[Masa nominal mN                              (g)]]+(tblBD_PatronMasa13154[[#This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tblBD_PatronMasa13154[[#This Row],[Masa nominal mN                              (g)]]+(tblBD_PatronMasa13154[[#This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tblBD_PatronMasa13154[[#This Row],[Masa nominal mN                              (g)]]+(tblBD_PatronMasa13154[[#This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tblBD_PatronMasa13154[[#This Row],[Masa nominal mN                              (g)]]+(tblBD_PatronMasa13154[[#This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tblBD_PatronMasa13154[[#This Row],[Masa nominal mN                              (g)]]+(tblBD_PatronMasa13154[[#This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tblBD_PatronMasa13154[[#This Row],[Masa nominal mN                              (g)]]+(tblBD_PatronMasa13154[[#This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tblBD_PatronMasa13154[[#This Row],[Masa nominal mN                              (g)]]+(tblBD_PatronMasa13154[[#This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datos!H73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datos!I73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datos!$H$77</f>
        <v>20.3</v>
      </c>
      <c r="J352" s="245">
        <f>(J353-J351)/(I353-I351)*(I352-I351)+J351</f>
        <v>0.12194331983805669</v>
      </c>
      <c r="K352" s="245">
        <f>(K353-K351)/(I353-I351)*(I352-I351)+K351</f>
        <v>0.25548582995951419</v>
      </c>
      <c r="L352" s="242"/>
      <c r="M352" s="243"/>
      <c r="N352" s="32">
        <f>datos!$I$77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20.421943319838057</v>
      </c>
      <c r="S359" s="246">
        <f>N352+O352</f>
        <v>20.221133603238869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40.57579617834395</v>
      </c>
      <c r="S360" s="246">
        <f>N370+O370</f>
        <v>39.764179104477613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2</v>
      </c>
      <c r="I369" s="243">
        <f>VLOOKUP(I370,H375:K379,1,TRUE)</f>
        <v>42.56</v>
      </c>
      <c r="J369" s="248">
        <f>VLOOKUP(I369,H375:J379,2,FALSE)</f>
        <v>-2.2000000000000002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datos!$H$78</f>
        <v>42.7</v>
      </c>
      <c r="J370" s="249">
        <f>(J371-J369)/(I371-I369)*(I370-I369)+J369</f>
        <v>-2.1242038216560508</v>
      </c>
      <c r="K370" s="249">
        <f>(K371-K369)/(I371-I369)*(I370-I369)+K369</f>
        <v>0.50222929936305738</v>
      </c>
      <c r="L370" s="242"/>
      <c r="M370" s="243"/>
      <c r="N370" s="32">
        <f>datos!$I$78</f>
        <v>42</v>
      </c>
      <c r="O370" s="249">
        <f>(O371-O369)/(N371-N369)*(N370-N369)+O369</f>
        <v>-2.2358208955223882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3</v>
      </c>
      <c r="I371" s="243">
        <f>VLOOKUP(H369+1,G375:J379,2,FALSE)</f>
        <v>48.84</v>
      </c>
      <c r="J371" s="248">
        <f>VLOOKUP(I371,H375:K379,2,FALSE)</f>
        <v>1.2</v>
      </c>
      <c r="K371" s="248">
        <f>VLOOKUP(I371,H375:K379,3,FALSE)</f>
        <v>0.6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datos!$H$79*100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datos!$I$79*100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datos!$H$77</f>
        <v>20.3</v>
      </c>
      <c r="J406" s="245">
        <f>(J407-J405)/(I407-I405)*(I406-I405)+J405</f>
        <v>-0.10120000000000001</v>
      </c>
      <c r="K406" s="245">
        <f>(K407-K405)/(I407-I405)*(I406-I405)+K405</f>
        <v>0.25059999999999999</v>
      </c>
      <c r="L406" s="242"/>
      <c r="M406" s="243"/>
      <c r="N406" s="32">
        <f>datos!$I$77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20.198800000000002</v>
      </c>
      <c r="S413" s="246">
        <f>N406+O406</f>
        <v>19.999600000000001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44.961538461538467</v>
      </c>
      <c r="S414" s="246">
        <f>N424+O424</f>
        <v>44.280769230769231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datos!$H$78</f>
        <v>42.7</v>
      </c>
      <c r="J424" s="249">
        <f>(J425-J423)/(I425-I423)*(I424-I423)+J423</f>
        <v>2.2615384615384611</v>
      </c>
      <c r="K424" s="249">
        <f>(K425-K423)/(I425-I423)*(I424-I423)+K423</f>
        <v>1.3</v>
      </c>
      <c r="L424" s="242"/>
      <c r="M424" s="243"/>
      <c r="N424" s="32">
        <f>datos!$I$78</f>
        <v>42</v>
      </c>
      <c r="O424" s="249">
        <f>(O425-O423)/(N425-N423)*(N424-N423)+O423</f>
        <v>2.2807692307692307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datos!$H$79*100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datos!$I$79*100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datos!$H$77</f>
        <v>20.3</v>
      </c>
      <c r="J459" s="245">
        <f>(J460-J458)/(I460-I458)*(I459-I458)+J458</f>
        <v>-9.5600000000000046E-2</v>
      </c>
      <c r="K459" s="245">
        <f>(K460-K458)/(I460-I458)*(I459-I458)+K458</f>
        <v>0.26960000000000001</v>
      </c>
      <c r="L459" s="242"/>
      <c r="M459" s="243"/>
      <c r="N459" s="32">
        <f>datos!$I$77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20.2044</v>
      </c>
      <c r="S466" s="246">
        <f>N459+O459</f>
        <v>20.014800000000001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43.723076923076924</v>
      </c>
      <c r="S467" s="246">
        <f>N477+O477</f>
        <v>43.061538461538461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datos!$H$78</f>
        <v>42.7</v>
      </c>
      <c r="J477" s="249">
        <f>(J478-J476)/(I478-I476)*(I477-I476)+J476</f>
        <v>1.0230769230769228</v>
      </c>
      <c r="K477" s="249">
        <f>(K478-K476)/(I478-I476)*(I477-I476)+K476</f>
        <v>1.3</v>
      </c>
      <c r="L477" s="242"/>
      <c r="M477" s="243"/>
      <c r="N477" s="32">
        <f>datos!$I$78</f>
        <v>42</v>
      </c>
      <c r="O477" s="249">
        <f>(O478-O476)/(N478-N476)*(N477-N476)+O476</f>
        <v>1.0615384615384615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datos!$H$79*100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datos!$I$79*100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datos!$H$77</f>
        <v>20.3</v>
      </c>
      <c r="J513" s="245">
        <f>(J514-J512)/(I514-I512)*(I513-I512)+J512</f>
        <v>0.10432712215320909</v>
      </c>
      <c r="K513" s="245">
        <f>(K514-K512)/(I514-I512)*(I513-I512)+K512</f>
        <v>3.9022774327122152E-2</v>
      </c>
      <c r="L513" s="242"/>
      <c r="M513" s="243"/>
      <c r="N513" s="32">
        <f>datos!$I$77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20.404327122153209</v>
      </c>
      <c r="S520" s="246">
        <f>N513+O513</f>
        <v>20.193859275053306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40.57579617834395</v>
      </c>
      <c r="S521" s="246">
        <f>N531+O531</f>
        <v>39.764179104477613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2</v>
      </c>
      <c r="I530" s="243">
        <f>VLOOKUP(I531,H536:K540,1,TRUE)</f>
        <v>42.56</v>
      </c>
      <c r="J530" s="248">
        <f>VLOOKUP(I530,H536:J540,2,FALSE)</f>
        <v>-2.2000000000000002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datos!$H$78</f>
        <v>42.7</v>
      </c>
      <c r="J531" s="249">
        <f>(J532-J530)/(I532-I530)*(I531-I530)+J530</f>
        <v>-2.1242038216560508</v>
      </c>
      <c r="K531" s="249">
        <f>(K532-K530)/(I532-I530)*(I531-I530)+K530</f>
        <v>0.50222929936305738</v>
      </c>
      <c r="L531" s="242"/>
      <c r="M531" s="243"/>
      <c r="N531" s="32">
        <f>datos!$I$78</f>
        <v>42</v>
      </c>
      <c r="O531" s="249">
        <f>(O532-O530)/(N532-N530)*(N531-N530)+O530</f>
        <v>-2.2358208955223882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3</v>
      </c>
      <c r="I532" s="243">
        <f>VLOOKUP(H530+1,G536:J540,2,FALSE)</f>
        <v>48.84</v>
      </c>
      <c r="J532" s="248">
        <f>VLOOKUP(I532,H536:K540,2,FALSE)</f>
        <v>1.2</v>
      </c>
      <c r="K532" s="248">
        <f>VLOOKUP(I532,H536:K540,3,FALSE)</f>
        <v>0.6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datos!$H$79*100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datos!$I$79*100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71" priority="20">
      <formula>M143&gt;P143</formula>
    </cfRule>
  </conditionalFormatting>
  <conditionalFormatting sqref="N97:N248">
    <cfRule type="cellIs" dxfId="70" priority="1" operator="lessThan">
      <formula>Z97</formula>
    </cfRule>
  </conditionalFormatting>
  <conditionalFormatting sqref="P97:P248">
    <cfRule type="expression" dxfId="69" priority="2">
      <formula>P97&gt;S97</formula>
    </cfRule>
  </conditionalFormatting>
  <hyperlinks>
    <hyperlink ref="BQ44" r:id="rId1" xr:uid="{00000000-0004-0000-0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7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1275" r:id="rId4"/>
      </mc:Fallback>
    </mc:AlternateContent>
    <mc:AlternateContent xmlns:mc="http://schemas.openxmlformats.org/markup-compatibility/2006">
      <mc:Choice Requires="x14">
        <oleObject progId="Equation.3" shapeId="1127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1276" r:id="rId6"/>
      </mc:Fallback>
    </mc:AlternateContent>
    <mc:AlternateContent xmlns:mc="http://schemas.openxmlformats.org/markup-compatibility/2006">
      <mc:Choice Requires="x14">
        <oleObject progId="Equation.3" shapeId="11278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1278" r:id="rId8"/>
      </mc:Fallback>
    </mc:AlternateContent>
    <mc:AlternateContent xmlns:mc="http://schemas.openxmlformats.org/markup-compatibility/2006">
      <mc:Choice Requires="x14">
        <oleObject progId="Equation.3" shapeId="11279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1279" r:id="rId10"/>
      </mc:Fallback>
    </mc:AlternateContent>
    <mc:AlternateContent xmlns:mc="http://schemas.openxmlformats.org/markup-compatibility/2006">
      <mc:Choice Requires="x14">
        <oleObject progId="Equation.3" shapeId="11280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1280" r:id="rId12"/>
      </mc:Fallback>
    </mc:AlternateContent>
    <mc:AlternateContent xmlns:mc="http://schemas.openxmlformats.org/markup-compatibility/2006">
      <mc:Choice Requires="x14">
        <oleObject progId="Equation.3" shapeId="11281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1281" r:id="rId14"/>
      </mc:Fallback>
    </mc:AlternateContent>
    <mc:AlternateContent xmlns:mc="http://schemas.openxmlformats.org/markup-compatibility/2006">
      <mc:Choice Requires="x14">
        <oleObject progId="Equation.3" shapeId="11282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1282" r:id="rId16"/>
      </mc:Fallback>
    </mc:AlternateContent>
    <mc:AlternateContent xmlns:mc="http://schemas.openxmlformats.org/markup-compatibility/2006">
      <mc:Choice Requires="x14">
        <oleObject progId="Equation.3" shapeId="11283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1283" r:id="rId18"/>
      </mc:Fallback>
    </mc:AlternateContent>
    <mc:AlternateContent xmlns:mc="http://schemas.openxmlformats.org/markup-compatibility/2006">
      <mc:Choice Requires="x14">
        <oleObject progId="Equation.3" shapeId="1128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1286" r:id="rId19"/>
      </mc:Fallback>
    </mc:AlternateContent>
    <mc:AlternateContent xmlns:mc="http://schemas.openxmlformats.org/markup-compatibility/2006">
      <mc:Choice Requires="x14">
        <oleObject progId="Equation.3" shapeId="112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1287" r:id="rId21"/>
      </mc:Fallback>
    </mc:AlternateContent>
    <mc:AlternateContent xmlns:mc="http://schemas.openxmlformats.org/markup-compatibility/2006">
      <mc:Choice Requires="x14">
        <oleObject progId="Equation.3" shapeId="11304" r:id="rId23">
          <objectPr defaultSize="0" autoPict="0" r:id="rId24">
            <anchor moveWithCells="1" sizeWithCells="1">
              <from>
                <xdr:col>6</xdr:col>
                <xdr:colOff>464820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251460</xdr:rowOff>
              </to>
            </anchor>
          </objectPr>
        </oleObject>
      </mc:Choice>
      <mc:Fallback>
        <oleObject progId="Equation.3" shapeId="11304" r:id="rId23"/>
      </mc:Fallback>
    </mc:AlternateContent>
  </oleObjects>
  <tableParts count="1">
    <tablePart r:id="rId2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datos!G90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datos!C82</f>
        <v>N/A</v>
      </c>
      <c r="J5" s="569" t="str">
        <f>datos!C83</f>
        <v>N/A</v>
      </c>
      <c r="K5" s="569" t="str">
        <f>datos!C84</f>
        <v>N/A</v>
      </c>
      <c r="L5" s="569" t="str">
        <f>datos!C85</f>
        <v>N/A</v>
      </c>
      <c r="M5" s="569" t="str">
        <f>datos!C86</f>
        <v>N/A</v>
      </c>
      <c r="N5" s="569" t="str">
        <f>datos!C87</f>
        <v>N/A</v>
      </c>
      <c r="O5" s="569" t="str">
        <f>datos!C88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datos!C82</f>
        <v>N/A</v>
      </c>
      <c r="J6" s="569" t="str">
        <f>datos!C83</f>
        <v>N/A</v>
      </c>
      <c r="K6" s="569" t="str">
        <f>datos!C84</f>
        <v>N/A</v>
      </c>
      <c r="L6" s="569" t="str">
        <f>datos!C85</f>
        <v>N/A</v>
      </c>
      <c r="M6" s="569" t="str">
        <f>datos!C86</f>
        <v>N/A</v>
      </c>
      <c r="N6" s="569" t="str">
        <f>datos!C87</f>
        <v>N/A</v>
      </c>
      <c r="O6" s="569" t="str">
        <f>datos!C88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42.778021978021982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datos!E90</f>
        <v>0</v>
      </c>
      <c r="D7" s="118" t="str">
        <f>datos!F90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43.439560439560438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43.10879120879121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1.1860561001903118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43.439560439560438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42.778021978021982</v>
      </c>
      <c r="BG15" s="368" t="s">
        <v>42</v>
      </c>
      <c r="BH15" s="478">
        <f>AVERAGE(BF14:BF15)</f>
        <v>43.10879120879121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datos!H90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2.6093234204186859E-5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datos!I90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datos!D89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datos!C93</f>
        <v>0</v>
      </c>
      <c r="J25" s="78">
        <f>datos!D93</f>
        <v>0</v>
      </c>
      <c r="K25" s="78">
        <f>datos!E93</f>
        <v>0</v>
      </c>
      <c r="L25" s="78">
        <f>datos!F93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datos!C94</f>
        <v>0</v>
      </c>
      <c r="J26" s="78">
        <f>datos!D94</f>
        <v>0</v>
      </c>
      <c r="K26" s="78">
        <f>datos!E94</f>
        <v>0</v>
      </c>
      <c r="L26" s="78">
        <f>datos!F94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datos!C95</f>
        <v>0</v>
      </c>
      <c r="J27" s="78">
        <f>datos!D95</f>
        <v>0</v>
      </c>
      <c r="K27" s="78">
        <f>datos!E95</f>
        <v>0</v>
      </c>
      <c r="L27" s="78">
        <f>datos!F95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datos!I90</f>
        <v>NI-MCPPT-06</v>
      </c>
      <c r="D28" s="758"/>
      <c r="E28" s="759"/>
      <c r="I28" s="78">
        <f>datos!C96</f>
        <v>0</v>
      </c>
      <c r="J28" s="78">
        <f>datos!D96</f>
        <v>0</v>
      </c>
      <c r="K28" s="78">
        <f>datos!E96</f>
        <v>0</v>
      </c>
      <c r="L28" s="78">
        <f>datos!F96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42.778021978021982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43.439560439560438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0.99962268648829855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-0.14264976927254402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datos!I90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0.99962268648829855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2.6093234204186859E-5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0.43108791208791208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1.0032440234154163E-2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0.99962268648829855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1.0032440234154163E-2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1.0032440234154163E-2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1.0064985705187523E-4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1.186056100190312E-5</v>
      </c>
      <c r="AT46" s="181"/>
      <c r="AU46" s="175"/>
      <c r="AV46" s="378"/>
      <c r="AW46" s="723">
        <f>SQRT((AS46*AX35)^2+(AS49*AX36)^2+(AS52*AX37)^2+(AX38^2)+(AS57*BR41)^2)</f>
        <v>7.8388046291010167E-4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1.1860561001903118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4.0325907406470601E-3</v>
      </c>
      <c r="AT49" s="181"/>
      <c r="AU49" s="175"/>
      <c r="AV49" s="366">
        <f>AW46*2</f>
        <v>1.5677609258202033E-3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1.1860561001903118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7.8388046291010167E-4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-1.1860561001903119E-2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1.5677609258202033E-3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-0.14264976927254402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tblBD_PatronMasa13155[[#This Row],[Masa nominal mN                              (g)]]+(tblBD_PatronMasa13155[[#This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tblBD_PatronMasa13155[[#This Row],[Masa nominal mN                              (g)]]+(tblBD_PatronMasa13155[[#This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tblBD_PatronMasa13155[[#This Row],[Masa nominal mN                              (g)]]+(tblBD_PatronMasa13155[[#This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tblBD_PatronMasa13155[[#This Row],[Masa nominal mN                              (g)]]+(tblBD_PatronMasa13155[[#This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tblBD_PatronMasa13155[[#This Row],[Masa nominal mN                              (g)]]+(tblBD_PatronMasa13155[[#This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tblBD_PatronMasa13155[[#This Row],[Masa nominal mN                              (g)]]+(tblBD_PatronMasa13155[[#This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tblBD_PatronMasa13155[[#This Row],[Masa nominal mN                              (g)]]+(tblBD_PatronMasa13155[[#This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tblBD_PatronMasa13155[[#This Row],[Masa nominal mN                              (g)]]+(tblBD_PatronMasa13155[[#This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tblBD_PatronMasa13155[[#This Row],[Masa nominal mN                              (g)]]+(tblBD_PatronMasa13155[[#This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tblBD_PatronMasa13155[[#This Row],[Masa nominal mN                              (g)]]+(tblBD_PatronMasa13155[[#This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tblBD_PatronMasa13155[[#This Row],[Masa nominal mN                              (g)]]+(tblBD_PatronMasa13155[[#This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tblBD_PatronMasa13155[[#This Row],[Masa nominal mN                              (g)]]+(tblBD_PatronMasa13155[[#This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tblBD_PatronMasa13155[[#This Row],[Masa nominal mN                              (g)]]+(tblBD_PatronMasa13155[[#This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tblBD_PatronMasa13155[[#This Row],[Masa nominal mN                              (g)]]+(tblBD_PatronMasa13155[[#This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tblBD_PatronMasa13155[[#This Row],[Masa nominal mN                              (g)]]+(tblBD_PatronMasa13155[[#This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tblBD_PatronMasa13155[[#This Row],[Masa nominal mN                              (g)]]+(tblBD_PatronMasa13155[[#This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tblBD_PatronMasa13155[[#This Row],[Masa nominal mN                              (g)]]+(tblBD_PatronMasa13155[[#This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tblBD_PatronMasa13155[[#This Row],[Masa nominal mN                              (g)]]+(tblBD_PatronMasa13155[[#This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tblBD_PatronMasa13155[[#This Row],[Masa nominal mN                              (g)]]+(tblBD_PatronMasa13155[[#This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tblBD_PatronMasa13155[[#This Row],[Masa nominal mN                              (g)]]+(tblBD_PatronMasa13155[[#This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tblBD_PatronMasa13155[[#This Row],[Masa nominal mN                              (g)]]+(tblBD_PatronMasa13155[[#This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tblBD_PatronMasa13155[[#This Row],[Masa nominal mN                              (g)]]+(tblBD_PatronMasa13155[[#This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tblBD_PatronMasa13155[[#This Row],[Masa nominal mN                              (g)]]+(tblBD_PatronMasa13155[[#This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tblBD_PatronMasa13155[[#This Row],[Masa nominal mN                              (g)]]+(tblBD_PatronMasa13155[[#This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tblBD_PatronMasa13155[[#This Row],[Masa nominal mN                              (g)]]+(tblBD_PatronMasa13155[[#This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tblBD_PatronMasa13155[[#This Row],[Masa nominal mN                              (g)]]+(tblBD_PatronMasa13155[[#This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tblBD_PatronMasa13155[[#This Row],[Masa nominal mN                              (g)]]+(tblBD_PatronMasa13155[[#This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tblBD_PatronMasa13155[[#This Row],[Masa nominal mN                              (g)]]+(tblBD_PatronMasa13155[[#This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tblBD_PatronMasa13155[[#This Row],[Masa nominal mN                              (g)]]+(tblBD_PatronMasa13155[[#This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tblBD_PatronMasa13155[[#This Row],[Masa nominal mN                              (g)]]+(tblBD_PatronMasa13155[[#This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tblBD_PatronMasa13155[[#This Row],[Masa nominal mN                              (g)]]+(tblBD_PatronMasa13155[[#This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tblBD_PatronMasa13155[[#This Row],[Masa nominal mN                              (g)]]+(tblBD_PatronMasa13155[[#This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tblBD_PatronMasa13155[[#This Row],[Masa nominal mN                              (g)]]+(tblBD_PatronMasa13155[[#This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tblBD_PatronMasa13155[[#This Row],[Masa nominal mN                              (g)]]+(tblBD_PatronMasa13155[[#This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tblBD_PatronMasa13155[[#This Row],[Masa nominal mN                              (g)]]+(tblBD_PatronMasa13155[[#This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tblBD_PatronMasa13155[[#This Row],[Masa nominal mN                              (g)]]+(tblBD_PatronMasa13155[[#This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tblBD_PatronMasa13155[[#This Row],[Masa nominal mN                              (g)]]+(tblBD_PatronMasa13155[[#This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tblBD_PatronMasa13155[[#This Row],[Masa nominal mN                              (g)]]+(tblBD_PatronMasa13155[[#This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tblBD_PatronMasa13155[[#This Row],[Masa nominal mN                              (g)]]+(tblBD_PatronMasa13155[[#This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tblBD_PatronMasa13155[[#This Row],[Masa nominal mN                              (g)]]+(tblBD_PatronMasa13155[[#This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tblBD_PatronMasa13155[[#This Row],[Masa nominal mN                              (g)]]+(tblBD_PatronMasa13155[[#This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tblBD_PatronMasa13155[[#This Row],[Masa nominal mN                              (g)]]+(tblBD_PatronMasa13155[[#This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tblBD_PatronMasa13155[[#This Row],[Masa nominal mN                              (g)]]+(tblBD_PatronMasa13155[[#This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tblBD_PatronMasa13155[[#This Row],[Masa nominal mN                              (g)]]+(tblBD_PatronMasa13155[[#This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tblBD_PatronMasa13155[[#This Row],[Masa nominal mN                              (g)]]+(tblBD_PatronMasa13155[[#This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tblBD_PatronMasa13155[[#This Row],[Masa nominal mN                              (g)]]+(tblBD_PatronMasa13155[[#This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tblBD_PatronMasa13155[[#This Row],[Masa nominal mN                              (g)]]+(tblBD_PatronMasa13155[[#This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tblBD_PatronMasa13155[[#This Row],[Masa nominal mN                              (g)]]+(tblBD_PatronMasa13155[[#This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tblBD_PatronMasa13155[[#This Row],[Masa nominal mN                              (g)]]+(tblBD_PatronMasa13155[[#This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tblBD_PatronMasa13155[[#This Row],[Masa nominal mN                              (g)]]+(tblBD_PatronMasa13155[[#This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tblBD_PatronMasa13155[[#This Row],[Masa nominal mN                              (g)]]+(tblBD_PatronMasa13155[[#This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tblBD_PatronMasa13155[[#This Row],[Masa nominal mN                              (g)]]+(tblBD_PatronMasa13155[[#This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tblBD_PatronMasa13155[[#This Row],[Masa nominal mN                              (g)]]+(tblBD_PatronMasa13155[[#This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tblBD_PatronMasa13155[[#This Row],[Masa nominal mN                              (g)]]+(tblBD_PatronMasa13155[[#This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tblBD_PatronMasa13155[[#This Row],[Masa nominal mN                              (g)]]+(tblBD_PatronMasa13155[[#This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tblBD_PatronMasa13155[[#This Row],[Masa nominal mN                              (g)]]+(tblBD_PatronMasa13155[[#This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datos!H90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datos!I90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datos!H94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datos!I94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39.444989339019195</v>
      </c>
      <c r="S360" s="246">
        <f>N370+O370</f>
        <v>40.189765458422173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1</v>
      </c>
      <c r="I369" s="243">
        <f>VLOOKUP(I370,H375:K379,1,TRUE)</f>
        <v>37.869999999999997</v>
      </c>
      <c r="J369" s="248">
        <f>VLOOKUP(I369,H375:J379,2,FALSE)</f>
        <v>-2.5</v>
      </c>
      <c r="K369" s="248">
        <f>VLOOKUP(I369,H357:K379,3,FALSE)</f>
        <v>0.5</v>
      </c>
      <c r="L369" s="242"/>
      <c r="M369" s="31">
        <f>VLOOKUP(N369,M375:P379,4,FALSE)</f>
        <v>1</v>
      </c>
      <c r="N369" s="243">
        <f>VLOOKUP(N370,M375:P379,1,TRUE)</f>
        <v>37.869999999999997</v>
      </c>
      <c r="O369" s="248">
        <f>VLOOKUP(N369,M375:P379,2,FALSE)</f>
        <v>-2.5</v>
      </c>
      <c r="P369" s="248">
        <f>VLOOKUP(N369,M375:P379,3,FALSE)</f>
        <v>0.5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datos!H95</f>
        <v>41.7</v>
      </c>
      <c r="J370" s="249">
        <f>(J371-J369)/(I371-I369)*(I370-I369)+J369</f>
        <v>-2.2550106609808105</v>
      </c>
      <c r="K370" s="249">
        <f>(K371-K369)/(I371-I369)*(I370-I369)+K369</f>
        <v>0.5</v>
      </c>
      <c r="L370" s="242"/>
      <c r="M370" s="243"/>
      <c r="N370" s="32">
        <f>datos!I95</f>
        <v>42.4</v>
      </c>
      <c r="O370" s="249">
        <f>(O371-O369)/(N371-N369)*(N370-N369)+O369</f>
        <v>-2.2102345415778255</v>
      </c>
      <c r="P370" s="249">
        <f>(P371-P369)/(O371-O369)*(O370-O369)+P369</f>
        <v>0.5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2</v>
      </c>
      <c r="I371" s="243">
        <f>VLOOKUP(H369+1,G375:J379,2,FALSE)</f>
        <v>42.56</v>
      </c>
      <c r="J371" s="248">
        <f>VLOOKUP(I371,H375:K379,2,FALSE)</f>
        <v>-2.2000000000000002</v>
      </c>
      <c r="K371" s="248">
        <f>VLOOKUP(I371,H375:K379,3,FALSE)</f>
        <v>0.5</v>
      </c>
      <c r="L371" s="242"/>
      <c r="M371" s="31">
        <f>M369+1</f>
        <v>2</v>
      </c>
      <c r="N371" s="243">
        <f>VLOOKUP(M369+1,L375:O379,2,FALSE)</f>
        <v>42.56</v>
      </c>
      <c r="O371" s="248">
        <f>VLOOKUP(N371,M375:P379,2,FALSE)</f>
        <v>-2.2000000000000002</v>
      </c>
      <c r="P371" s="248">
        <f>VLOOKUP(N371,M375:P379,3,FALSE)</f>
        <v>0.5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datos!H96*100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datos!I96*100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datos!H94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datos!I94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43.989010989010993</v>
      </c>
      <c r="S414" s="246">
        <f>N424+O424</f>
        <v>44.669780219780222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datos!H95</f>
        <v>41.7</v>
      </c>
      <c r="J424" s="249">
        <f>(J425-J423)/(I425-I423)*(I424-I423)+J423</f>
        <v>2.2890109890109889</v>
      </c>
      <c r="K424" s="249">
        <f>(K425-K423)/(I425-I423)*(I424-I423)+K423</f>
        <v>1.3</v>
      </c>
      <c r="L424" s="242"/>
      <c r="M424" s="243"/>
      <c r="N424" s="32">
        <f>datos!I95</f>
        <v>42.4</v>
      </c>
      <c r="O424" s="249">
        <f>(O425-O423)/(N425-N423)*(N424-N423)+O423</f>
        <v>2.2697802197802197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datos!H96*100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datos!I96*100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datos!H94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datos!I94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42.778021978021982</v>
      </c>
      <c r="S467" s="246">
        <f>N477+O477</f>
        <v>43.439560439560438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datos!H95</f>
        <v>41.7</v>
      </c>
      <c r="J477" s="249">
        <f>(J478-J476)/(I478-I476)*(I477-I476)+J476</f>
        <v>1.0780219780219777</v>
      </c>
      <c r="K477" s="249">
        <f>(K478-K476)/(I478-I476)*(I477-I476)+K476</f>
        <v>1.3</v>
      </c>
      <c r="L477" s="242"/>
      <c r="M477" s="243"/>
      <c r="N477" s="32">
        <f>datos!I95</f>
        <v>42.4</v>
      </c>
      <c r="O477" s="249">
        <f>(O478-O476)/(N478-N476)*(N477-N476)+O476</f>
        <v>1.0395604395604396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datos!H96*100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datos!I96*100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datos!H94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datos!I94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20.087036247334755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39.444989339019195</v>
      </c>
      <c r="S521" s="246">
        <f>N531+O531</f>
        <v>40.189765458422173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1</v>
      </c>
      <c r="I530" s="243">
        <f>VLOOKUP(I531,H536:K540,1,TRUE)</f>
        <v>37.869999999999997</v>
      </c>
      <c r="J530" s="248">
        <f>VLOOKUP(I530,H536:J540,2,FALSE)</f>
        <v>-2.5</v>
      </c>
      <c r="K530" s="248">
        <f>VLOOKUP(I530,H518:K540,3,FALSE)</f>
        <v>0.5</v>
      </c>
      <c r="L530" s="242"/>
      <c r="M530" s="31">
        <f>VLOOKUP(N530,M536:P540,4,FALSE)</f>
        <v>1</v>
      </c>
      <c r="N530" s="243">
        <f>VLOOKUP(N531,M536:P540,1,TRUE)</f>
        <v>37.869999999999997</v>
      </c>
      <c r="O530" s="248">
        <f>VLOOKUP(N530,M536:P540,2,FALSE)</f>
        <v>-2.5</v>
      </c>
      <c r="P530" s="248">
        <f>VLOOKUP(N530,M536:P540,3,FALSE)</f>
        <v>0.5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datos!H95</f>
        <v>41.7</v>
      </c>
      <c r="J531" s="249">
        <f>(J532-J530)/(I532-I530)*(I531-I530)+J530</f>
        <v>-2.2550106609808105</v>
      </c>
      <c r="K531" s="249">
        <f>(K532-K530)/(I532-I530)*(I531-I530)+K530</f>
        <v>0.5</v>
      </c>
      <c r="L531" s="242"/>
      <c r="M531" s="243"/>
      <c r="N531" s="32">
        <f>datos!I95</f>
        <v>42.4</v>
      </c>
      <c r="O531" s="249">
        <f>(O532-O530)/(N532-N530)*(N531-N530)+O530</f>
        <v>-2.2102345415778255</v>
      </c>
      <c r="P531" s="249">
        <f>(P532-P530)/(O532-O530)*(O531-O530)+P530</f>
        <v>0.5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2</v>
      </c>
      <c r="I532" s="243">
        <f>VLOOKUP(H530+1,G536:J540,2,FALSE)</f>
        <v>42.56</v>
      </c>
      <c r="J532" s="248">
        <f>VLOOKUP(I532,H536:K540,2,FALSE)</f>
        <v>-2.2000000000000002</v>
      </c>
      <c r="K532" s="248">
        <f>VLOOKUP(I532,H536:K540,3,FALSE)</f>
        <v>0.5</v>
      </c>
      <c r="L532" s="242"/>
      <c r="M532" s="31">
        <f>M530+1</f>
        <v>2</v>
      </c>
      <c r="N532" s="243">
        <f>VLOOKUP(M530+1,L536:O540,2,FALSE)</f>
        <v>42.56</v>
      </c>
      <c r="O532" s="248">
        <f>VLOOKUP(N532,M536:P540,2,FALSE)</f>
        <v>-2.2000000000000002</v>
      </c>
      <c r="P532" s="248">
        <f>VLOOKUP(N532,M536:P540,3,FALSE)</f>
        <v>0.5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datos!H96*100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datos!I96*100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8" priority="20">
      <formula>M143&gt;P143</formula>
    </cfRule>
  </conditionalFormatting>
  <conditionalFormatting sqref="N97:N248">
    <cfRule type="cellIs" dxfId="67" priority="1" operator="lessThan">
      <formula>Z97</formula>
    </cfRule>
  </conditionalFormatting>
  <conditionalFormatting sqref="P97:P248">
    <cfRule type="expression" dxfId="66" priority="2">
      <formula>P97&gt;S97</formula>
    </cfRule>
  </conditionalFormatting>
  <hyperlinks>
    <hyperlink ref="BQ44" r:id="rId1" xr:uid="{00000000-0004-0000-06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29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2299" r:id="rId4"/>
      </mc:Fallback>
    </mc:AlternateContent>
    <mc:AlternateContent xmlns:mc="http://schemas.openxmlformats.org/markup-compatibility/2006">
      <mc:Choice Requires="x14">
        <oleObject progId="Equation.3" shapeId="1230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2300" r:id="rId6"/>
      </mc:Fallback>
    </mc:AlternateContent>
    <mc:AlternateContent xmlns:mc="http://schemas.openxmlformats.org/markup-compatibility/2006">
      <mc:Choice Requires="x14">
        <oleObject progId="Equation.3" shapeId="12302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2302" r:id="rId8"/>
      </mc:Fallback>
    </mc:AlternateContent>
    <mc:AlternateContent xmlns:mc="http://schemas.openxmlformats.org/markup-compatibility/2006">
      <mc:Choice Requires="x14">
        <oleObject progId="Equation.3" shapeId="12303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2303" r:id="rId10"/>
      </mc:Fallback>
    </mc:AlternateContent>
    <mc:AlternateContent xmlns:mc="http://schemas.openxmlformats.org/markup-compatibility/2006">
      <mc:Choice Requires="x14">
        <oleObject progId="Equation.3" shapeId="12304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2304" r:id="rId12"/>
      </mc:Fallback>
    </mc:AlternateContent>
    <mc:AlternateContent xmlns:mc="http://schemas.openxmlformats.org/markup-compatibility/2006">
      <mc:Choice Requires="x14">
        <oleObject progId="Equation.3" shapeId="12305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2305" r:id="rId14"/>
      </mc:Fallback>
    </mc:AlternateContent>
    <mc:AlternateContent xmlns:mc="http://schemas.openxmlformats.org/markup-compatibility/2006">
      <mc:Choice Requires="x14">
        <oleObject progId="Equation.3" shapeId="12306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2306" r:id="rId16"/>
      </mc:Fallback>
    </mc:AlternateContent>
    <mc:AlternateContent xmlns:mc="http://schemas.openxmlformats.org/markup-compatibility/2006">
      <mc:Choice Requires="x14">
        <oleObject progId="Equation.3" shapeId="12307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2307" r:id="rId18"/>
      </mc:Fallback>
    </mc:AlternateContent>
    <mc:AlternateContent xmlns:mc="http://schemas.openxmlformats.org/markup-compatibility/2006">
      <mc:Choice Requires="x14">
        <oleObject progId="Equation.3" shapeId="12310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2310" r:id="rId19"/>
      </mc:Fallback>
    </mc:AlternateContent>
    <mc:AlternateContent xmlns:mc="http://schemas.openxmlformats.org/markup-compatibility/2006">
      <mc:Choice Requires="x14">
        <oleObject progId="Equation.3" shapeId="12311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2311" r:id="rId21"/>
      </mc:Fallback>
    </mc:AlternateContent>
    <mc:AlternateContent xmlns:mc="http://schemas.openxmlformats.org/markup-compatibility/2006">
      <mc:Choice Requires="x14">
        <oleObject progId="Equation.3" shapeId="12328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2328" r:id="rId23"/>
      </mc:Fallback>
    </mc:AlternateContent>
  </oleObjects>
  <tableParts count="1">
    <tablePart r:id="rId25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datos!G107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datos!C99</f>
        <v>N/A</v>
      </c>
      <c r="J5" s="569" t="str">
        <f>datos!C100</f>
        <v>N/A</v>
      </c>
      <c r="K5" s="569" t="str">
        <f>datos!C101</f>
        <v>N/A</v>
      </c>
      <c r="L5" s="569" t="str">
        <f>datos!C102</f>
        <v>N/A</v>
      </c>
      <c r="M5" s="569" t="str">
        <f>datos!C103</f>
        <v>N/A</v>
      </c>
      <c r="N5" s="569" t="str">
        <f>datos!C104</f>
        <v>N/A</v>
      </c>
      <c r="O5" s="569" t="str">
        <f>datos!C105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datos!C99</f>
        <v>N/A</v>
      </c>
      <c r="J6" s="569" t="str">
        <f>datos!C100</f>
        <v>N/A</v>
      </c>
      <c r="K6" s="569" t="str">
        <f>datos!C101</f>
        <v>N/A</v>
      </c>
      <c r="L6" s="569" t="str">
        <f>datos!C102</f>
        <v>N/A</v>
      </c>
      <c r="M6" s="569" t="str">
        <f>datos!C103</f>
        <v>N/A</v>
      </c>
      <c r="N6" s="569" t="str">
        <f>datos!C104</f>
        <v>N/A</v>
      </c>
      <c r="O6" s="569" t="str">
        <f>datos!C105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54.874725274725272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datos!E107</f>
        <v>0</v>
      </c>
      <c r="D7" s="118" t="str">
        <f>datos!F107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52.134065934065937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19.317709923664122</v>
      </c>
      <c r="AD8" s="366">
        <f>AVERAGE(AD6:AD7)</f>
        <v>53.504395604395604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1.1874072027488061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19.418091603053433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54.874725274725272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19.317709923664122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19.317709923664122</v>
      </c>
      <c r="BB15" s="181"/>
      <c r="BC15" s="175"/>
      <c r="BD15" s="378"/>
      <c r="BE15" s="366" t="s">
        <v>492</v>
      </c>
      <c r="BF15" s="477">
        <f>MIN(AD6:AD7)</f>
        <v>52.134065934065937</v>
      </c>
      <c r="BG15" s="368" t="s">
        <v>42</v>
      </c>
      <c r="BH15" s="478">
        <f>AVERAGE(BF14:BF15)</f>
        <v>53.504395604395604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datos!H107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373.17391669483129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292.46770992366407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2.6122958460473733E-5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373.17391669483129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292.46770992366407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292.46770992366407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85537.361347992512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1.0039721770533492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2242.1043355209626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datos!I107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datos!D106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4.0980649004578026E-2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datos!C110</f>
        <v>0</v>
      </c>
      <c r="J25" s="78">
        <f>datos!D110</f>
        <v>0</v>
      </c>
      <c r="K25" s="78">
        <f>datos!E110</f>
        <v>0</v>
      </c>
      <c r="L25" s="78">
        <f>datos!F110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datos!C111</f>
        <v>0</v>
      </c>
      <c r="J26" s="78">
        <f>datos!D111</f>
        <v>0</v>
      </c>
      <c r="K26" s="78">
        <f>datos!E111</f>
        <v>0</v>
      </c>
      <c r="L26" s="78">
        <f>datos!F111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datos!C112</f>
        <v>0</v>
      </c>
      <c r="J27" s="78">
        <f>datos!D112</f>
        <v>0</v>
      </c>
      <c r="K27" s="78">
        <f>datos!E112</f>
        <v>0</v>
      </c>
      <c r="L27" s="78">
        <f>datos!F112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datos!I107</f>
        <v>NI-MCPPT-06</v>
      </c>
      <c r="D28" s="758"/>
      <c r="E28" s="759"/>
      <c r="I28" s="78">
        <f>datos!C113</f>
        <v>0</v>
      </c>
      <c r="J28" s="78">
        <f>datos!D113</f>
        <v>0</v>
      </c>
      <c r="K28" s="78">
        <f>datos!E113</f>
        <v>0</v>
      </c>
      <c r="L28" s="78">
        <f>datos!F113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0.13932963405596729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54.874725274725272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52.134065934065937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0.99961118507224855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-0.14281226956928531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datos!I107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0.13932963405596729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0.99961118507224855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2.6122958460473733E-5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292.46770992366407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0.53504395604395605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1.2031634703733467E-2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1.0039721770533492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2242.1043355209626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0.99961118507224855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1.0039721770533492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2242.1043355209626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292.46770992366407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1.2031634703733467E-2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1.2031634703733467E-2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1.4476023364408351E-4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1.1874072027488061E-5</v>
      </c>
      <c r="AT46" s="181"/>
      <c r="AU46" s="175"/>
      <c r="AV46" s="378"/>
      <c r="AW46" s="723">
        <f>SQRT((AS46*AX35)^2+(AS49*AX36)^2+(AS52*AX37)^2+(AX38^2)+(AS57*BR41)^2)</f>
        <v>6.6705918634234337E-4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1.1874072027488061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4.0371844893459406E-3</v>
      </c>
      <c r="AT49" s="181"/>
      <c r="AU49" s="175"/>
      <c r="AV49" s="366">
        <f>AW46*2</f>
        <v>1.3341183726846867E-3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1.1874072027488061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6.6705918634234337E-4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-1.1874072027488062E-2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1.3341183726846867E-3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-0.14281226956928531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tblBD_PatronMasa13156[[#This Row],[Masa nominal mN                              (g)]]+(tblBD_PatronMasa13156[[#This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tblBD_PatronMasa13156[[#This Row],[Masa nominal mN                              (g)]]+(tblBD_PatronMasa13156[[#This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tblBD_PatronMasa13156[[#This Row],[Masa nominal mN                              (g)]]+(tblBD_PatronMasa13156[[#This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tblBD_PatronMasa13156[[#This Row],[Masa nominal mN                              (g)]]+(tblBD_PatronMasa13156[[#This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tblBD_PatronMasa13156[[#This Row],[Masa nominal mN                              (g)]]+(tblBD_PatronMasa13156[[#This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tblBD_PatronMasa13156[[#This Row],[Masa nominal mN                              (g)]]+(tblBD_PatronMasa13156[[#This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tblBD_PatronMasa13156[[#This Row],[Masa nominal mN                              (g)]]+(tblBD_PatronMasa13156[[#This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tblBD_PatronMasa13156[[#This Row],[Masa nominal mN                              (g)]]+(tblBD_PatronMasa13156[[#This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tblBD_PatronMasa13156[[#This Row],[Masa nominal mN                              (g)]]+(tblBD_PatronMasa13156[[#This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tblBD_PatronMasa13156[[#This Row],[Masa nominal mN                              (g)]]+(tblBD_PatronMasa13156[[#This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tblBD_PatronMasa13156[[#This Row],[Masa nominal mN                              (g)]]+(tblBD_PatronMasa13156[[#This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tblBD_PatronMasa13156[[#This Row],[Masa nominal mN                              (g)]]+(tblBD_PatronMasa13156[[#This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tblBD_PatronMasa13156[[#This Row],[Masa nominal mN                              (g)]]+(tblBD_PatronMasa13156[[#This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tblBD_PatronMasa13156[[#This Row],[Masa nominal mN                              (g)]]+(tblBD_PatronMasa13156[[#This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tblBD_PatronMasa13156[[#This Row],[Masa nominal mN                              (g)]]+(tblBD_PatronMasa13156[[#This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tblBD_PatronMasa13156[[#This Row],[Masa nominal mN                              (g)]]+(tblBD_PatronMasa13156[[#This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tblBD_PatronMasa13156[[#This Row],[Masa nominal mN                              (g)]]+(tblBD_PatronMasa13156[[#This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tblBD_PatronMasa13156[[#This Row],[Masa nominal mN                              (g)]]+(tblBD_PatronMasa13156[[#This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tblBD_PatronMasa13156[[#This Row],[Masa nominal mN                              (g)]]+(tblBD_PatronMasa13156[[#This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tblBD_PatronMasa13156[[#This Row],[Masa nominal mN                              (g)]]+(tblBD_PatronMasa13156[[#This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tblBD_PatronMasa13156[[#This Row],[Masa nominal mN                              (g)]]+(tblBD_PatronMasa13156[[#This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tblBD_PatronMasa13156[[#This Row],[Masa nominal mN                              (g)]]+(tblBD_PatronMasa13156[[#This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tblBD_PatronMasa13156[[#This Row],[Masa nominal mN                              (g)]]+(tblBD_PatronMasa13156[[#This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tblBD_PatronMasa13156[[#This Row],[Masa nominal mN                              (g)]]+(tblBD_PatronMasa13156[[#This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tblBD_PatronMasa13156[[#This Row],[Masa nominal mN                              (g)]]+(tblBD_PatronMasa13156[[#This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tblBD_PatronMasa13156[[#This Row],[Masa nominal mN                              (g)]]+(tblBD_PatronMasa13156[[#This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tblBD_PatronMasa13156[[#This Row],[Masa nominal mN                              (g)]]+(tblBD_PatronMasa13156[[#This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tblBD_PatronMasa13156[[#This Row],[Masa nominal mN                              (g)]]+(tblBD_PatronMasa13156[[#This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tblBD_PatronMasa13156[[#This Row],[Masa nominal mN                              (g)]]+(tblBD_PatronMasa13156[[#This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tblBD_PatronMasa13156[[#This Row],[Masa nominal mN                              (g)]]+(tblBD_PatronMasa13156[[#This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tblBD_PatronMasa13156[[#This Row],[Masa nominal mN                              (g)]]+(tblBD_PatronMasa13156[[#This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tblBD_PatronMasa13156[[#This Row],[Masa nominal mN                              (g)]]+(tblBD_PatronMasa13156[[#This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tblBD_PatronMasa13156[[#This Row],[Masa nominal mN                              (g)]]+(tblBD_PatronMasa13156[[#This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tblBD_PatronMasa13156[[#This Row],[Masa nominal mN                              (g)]]+(tblBD_PatronMasa13156[[#This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tblBD_PatronMasa13156[[#This Row],[Masa nominal mN                              (g)]]+(tblBD_PatronMasa13156[[#This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tblBD_PatronMasa13156[[#This Row],[Masa nominal mN                              (g)]]+(tblBD_PatronMasa13156[[#This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tblBD_PatronMasa13156[[#This Row],[Masa nominal mN                              (g)]]+(tblBD_PatronMasa13156[[#This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tblBD_PatronMasa13156[[#This Row],[Masa nominal mN                              (g)]]+(tblBD_PatronMasa13156[[#This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tblBD_PatronMasa13156[[#This Row],[Masa nominal mN                              (g)]]+(tblBD_PatronMasa13156[[#This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tblBD_PatronMasa13156[[#This Row],[Masa nominal mN                              (g)]]+(tblBD_PatronMasa13156[[#This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tblBD_PatronMasa13156[[#This Row],[Masa nominal mN                              (g)]]+(tblBD_PatronMasa13156[[#This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tblBD_PatronMasa13156[[#This Row],[Masa nominal mN                              (g)]]+(tblBD_PatronMasa13156[[#This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tblBD_PatronMasa13156[[#This Row],[Masa nominal mN                              (g)]]+(tblBD_PatronMasa13156[[#This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tblBD_PatronMasa13156[[#This Row],[Masa nominal mN                              (g)]]+(tblBD_PatronMasa13156[[#This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tblBD_PatronMasa13156[[#This Row],[Masa nominal mN                              (g)]]+(tblBD_PatronMasa13156[[#This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tblBD_PatronMasa13156[[#This Row],[Masa nominal mN                              (g)]]+(tblBD_PatronMasa13156[[#This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tblBD_PatronMasa13156[[#This Row],[Masa nominal mN                              (g)]]+(tblBD_PatronMasa13156[[#This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tblBD_PatronMasa13156[[#This Row],[Masa nominal mN                              (g)]]+(tblBD_PatronMasa13156[[#This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tblBD_PatronMasa13156[[#This Row],[Masa nominal mN                              (g)]]+(tblBD_PatronMasa13156[[#This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tblBD_PatronMasa13156[[#This Row],[Masa nominal mN                              (g)]]+(tblBD_PatronMasa13156[[#This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tblBD_PatronMasa13156[[#This Row],[Masa nominal mN                              (g)]]+(tblBD_PatronMasa13156[[#This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tblBD_PatronMasa13156[[#This Row],[Masa nominal mN                              (g)]]+(tblBD_PatronMasa13156[[#This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tblBD_PatronMasa13156[[#This Row],[Masa nominal mN                              (g)]]+(tblBD_PatronMasa13156[[#This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tblBD_PatronMasa13156[[#This Row],[Masa nominal mN                              (g)]]+(tblBD_PatronMasa13156[[#This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tblBD_PatronMasa13156[[#This Row],[Masa nominal mN                              (g)]]+(tblBD_PatronMasa13156[[#This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tblBD_PatronMasa13156[[#This Row],[Masa nominal mN                              (g)]]+(tblBD_PatronMasa13156[[#This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datos!H107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datos!I107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datos!H111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datos!I111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19.417894736842108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57.569885641677253</v>
      </c>
      <c r="S360" s="246">
        <f>N370+O370</f>
        <v>53.711817026683612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datos!H112</f>
        <v>54.5</v>
      </c>
      <c r="J370" s="249">
        <f>(J371-J369)/(I371-I369)*(I370-I369)+J369</f>
        <v>3.0698856416772546</v>
      </c>
      <c r="K370" s="249">
        <f>(K371-K369)/(I371-I369)*(I370-I369)+K369</f>
        <v>0.6</v>
      </c>
      <c r="L370" s="242"/>
      <c r="M370" s="243"/>
      <c r="N370" s="32">
        <f>datos!I112</f>
        <v>51.6</v>
      </c>
      <c r="O370" s="249">
        <f>(O371-O369)/(N371-N369)*(N370-N369)+O369</f>
        <v>2.111817026683608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datos!H113*100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datos!I113*100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datos!H111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datos!I111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19.237404580152674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56.437362637362639</v>
      </c>
      <c r="S414" s="246">
        <f>N424+O424</f>
        <v>53.617032967032969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datos!H112</f>
        <v>54.5</v>
      </c>
      <c r="J424" s="249">
        <f>(J425-J423)/(I425-I423)*(I424-I423)+J423</f>
        <v>1.9373626373626374</v>
      </c>
      <c r="K424" s="249">
        <f>(K425-K423)/(I425-I423)*(I424-I423)+K423</f>
        <v>1.3</v>
      </c>
      <c r="L424" s="242"/>
      <c r="M424" s="243"/>
      <c r="N424" s="32">
        <f>datos!I112</f>
        <v>51.6</v>
      </c>
      <c r="O424" s="249">
        <f>(O425-O423)/(N425-N423)*(N424-N423)+O423</f>
        <v>2.017032967032967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datos!H113*100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datos!I113*100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datos!H111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datos!I111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19.21732824427481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54.874725274725272</v>
      </c>
      <c r="S467" s="246">
        <f>N477+O477</f>
        <v>52.134065934065937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datos!H112</f>
        <v>54.5</v>
      </c>
      <c r="J477" s="249">
        <f>(J478-J476)/(I478-I476)*(I477-I476)+J476</f>
        <v>0.37472527472527473</v>
      </c>
      <c r="K477" s="249">
        <f>(K478-K476)/(I478-I476)*(I477-I476)+K476</f>
        <v>1.3</v>
      </c>
      <c r="L477" s="242"/>
      <c r="M477" s="243"/>
      <c r="N477" s="32">
        <f>datos!I112</f>
        <v>51.6</v>
      </c>
      <c r="O477" s="249">
        <f>(O478-O476)/(N478-N476)*(N477-N476)+O476</f>
        <v>0.53406593406593406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datos!H113*100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datos!I113*100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datos!H111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datos!I111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19.339275053304906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57.569885641677253</v>
      </c>
      <c r="S521" s="246">
        <f>N531+O531</f>
        <v>53.711817026683612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datos!H112</f>
        <v>54.5</v>
      </c>
      <c r="J531" s="249">
        <f>(J532-J530)/(I532-I530)*(I531-I530)+J530</f>
        <v>3.0698856416772546</v>
      </c>
      <c r="K531" s="249">
        <f>(K532-K530)/(I532-I530)*(I531-I530)+K530</f>
        <v>0.6</v>
      </c>
      <c r="L531" s="242"/>
      <c r="M531" s="243"/>
      <c r="N531" s="32">
        <f>datos!I112</f>
        <v>51.6</v>
      </c>
      <c r="O531" s="249">
        <f>(O532-O530)/(N532-N530)*(N531-N530)+O530</f>
        <v>2.111817026683608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datos!H113*100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datos!I113*100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5" priority="20">
      <formula>M143&gt;P143</formula>
    </cfRule>
  </conditionalFormatting>
  <conditionalFormatting sqref="N97:N248">
    <cfRule type="cellIs" dxfId="64" priority="1" operator="lessThan">
      <formula>Z97</formula>
    </cfRule>
  </conditionalFormatting>
  <conditionalFormatting sqref="P97:P248">
    <cfRule type="expression" dxfId="63" priority="2">
      <formula>P97&gt;S97</formula>
    </cfRule>
  </conditionalFormatting>
  <hyperlinks>
    <hyperlink ref="BQ44" r:id="rId1" xr:uid="{00000000-0004-0000-07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3323" r:id="rId4"/>
      </mc:Fallback>
    </mc:AlternateContent>
    <mc:AlternateContent xmlns:mc="http://schemas.openxmlformats.org/markup-compatibility/2006">
      <mc:Choice Requires="x14">
        <oleObject progId="Equation.3" shapeId="1332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3324" r:id="rId6"/>
      </mc:Fallback>
    </mc:AlternateContent>
    <mc:AlternateContent xmlns:mc="http://schemas.openxmlformats.org/markup-compatibility/2006">
      <mc:Choice Requires="x14">
        <oleObject progId="Equation.3" shapeId="13326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3326" r:id="rId8"/>
      </mc:Fallback>
    </mc:AlternateContent>
    <mc:AlternateContent xmlns:mc="http://schemas.openxmlformats.org/markup-compatibility/2006">
      <mc:Choice Requires="x14">
        <oleObject progId="Equation.3" shapeId="13327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3327" r:id="rId10"/>
      </mc:Fallback>
    </mc:AlternateContent>
    <mc:AlternateContent xmlns:mc="http://schemas.openxmlformats.org/markup-compatibility/2006">
      <mc:Choice Requires="x14">
        <oleObject progId="Equation.3" shapeId="13328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3328" r:id="rId12"/>
      </mc:Fallback>
    </mc:AlternateContent>
    <mc:AlternateContent xmlns:mc="http://schemas.openxmlformats.org/markup-compatibility/2006">
      <mc:Choice Requires="x14">
        <oleObject progId="Equation.3" shapeId="13329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3329" r:id="rId14"/>
      </mc:Fallback>
    </mc:AlternateContent>
    <mc:AlternateContent xmlns:mc="http://schemas.openxmlformats.org/markup-compatibility/2006">
      <mc:Choice Requires="x14">
        <oleObject progId="Equation.3" shapeId="13330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3330" r:id="rId16"/>
      </mc:Fallback>
    </mc:AlternateContent>
    <mc:AlternateContent xmlns:mc="http://schemas.openxmlformats.org/markup-compatibility/2006">
      <mc:Choice Requires="x14">
        <oleObject progId="Equation.3" shapeId="13331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3331" r:id="rId18"/>
      </mc:Fallback>
    </mc:AlternateContent>
    <mc:AlternateContent xmlns:mc="http://schemas.openxmlformats.org/markup-compatibility/2006">
      <mc:Choice Requires="x14">
        <oleObject progId="Equation.3" shapeId="13334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3334" r:id="rId19"/>
      </mc:Fallback>
    </mc:AlternateContent>
    <mc:AlternateContent xmlns:mc="http://schemas.openxmlformats.org/markup-compatibility/2006">
      <mc:Choice Requires="x14">
        <oleObject progId="Equation.3" shapeId="13335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3335" r:id="rId21"/>
      </mc:Fallback>
    </mc:AlternateContent>
    <mc:AlternateContent xmlns:mc="http://schemas.openxmlformats.org/markup-compatibility/2006">
      <mc:Choice Requires="x14">
        <oleObject progId="Equation.3" shapeId="13352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1059180</xdr:colOff>
                <xdr:row>43</xdr:row>
                <xdr:rowOff>251460</xdr:rowOff>
              </to>
            </anchor>
          </objectPr>
        </oleObject>
      </mc:Choice>
      <mc:Fallback>
        <oleObject progId="Equation.3" shapeId="13352" r:id="rId23"/>
      </mc:Fallback>
    </mc:AlternateContent>
  </oleObjects>
  <tableParts count="1">
    <tablePart r:id="rId2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U558"/>
  <sheetViews>
    <sheetView topLeftCell="K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datos!G124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datos!C116</f>
        <v>N/A</v>
      </c>
      <c r="J5" s="569" t="str">
        <f>datos!C117</f>
        <v>N/A</v>
      </c>
      <c r="K5" s="569" t="str">
        <f>datos!C118</f>
        <v>N/A</v>
      </c>
      <c r="L5" s="569" t="str">
        <f>datos!C119</f>
        <v>N/A</v>
      </c>
      <c r="M5" s="569" t="str">
        <f>datos!C120</f>
        <v>N/A</v>
      </c>
      <c r="N5" s="569" t="str">
        <f>datos!C121</f>
        <v>N/A</v>
      </c>
      <c r="O5" s="569" t="str">
        <f>datos!C122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datos!C116</f>
        <v>N/A</v>
      </c>
      <c r="J6" s="569" t="str">
        <f>datos!C117</f>
        <v>N/A</v>
      </c>
      <c r="K6" s="569" t="str">
        <f>datos!C118</f>
        <v>N/A</v>
      </c>
      <c r="L6" s="569" t="str">
        <f>datos!C119</f>
        <v>N/A</v>
      </c>
      <c r="M6" s="569" t="str">
        <f>datos!C120</f>
        <v>N/A</v>
      </c>
      <c r="N6" s="569" t="str">
        <f>datos!C121</f>
        <v>N/A</v>
      </c>
      <c r="O6" s="569" t="str">
        <f>datos!C122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58.182417582417585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datos!E124</f>
        <v>0</v>
      </c>
      <c r="D7" s="118" t="str">
        <f>datos!F124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19.61885496183206</v>
      </c>
      <c r="AD7" s="192">
        <f>C31</f>
        <v>57.520879120879115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57.85164835164835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1.1851909627057235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58.182417582417585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57.520879120879115</v>
      </c>
      <c r="BG15" s="368" t="s">
        <v>42</v>
      </c>
      <c r="BH15" s="478">
        <f>AVERAGE(BF14:BF15)</f>
        <v>57.85164835164835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datos!H124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2.6074201179525917E-5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datos!I124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datos!D123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datos!C126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0.13503597299958717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datos!C127</f>
        <v>0</v>
      </c>
      <c r="J25" s="78">
        <f>datos!D127</f>
        <v>0</v>
      </c>
      <c r="K25" s="78">
        <f>datos!E127</f>
        <v>0</v>
      </c>
      <c r="L25" s="78">
        <f>datos!F127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19.61885496183206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datos!C128</f>
        <v>0</v>
      </c>
      <c r="J26" s="78">
        <f>datos!D128</f>
        <v>0</v>
      </c>
      <c r="K26" s="78">
        <f>datos!E128</f>
        <v>0</v>
      </c>
      <c r="L26" s="78">
        <f>datos!F128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datos!C129</f>
        <v>0</v>
      </c>
      <c r="J27" s="78">
        <f>datos!D129</f>
        <v>0</v>
      </c>
      <c r="K27" s="78">
        <f>datos!E129</f>
        <v>0</v>
      </c>
      <c r="L27" s="78">
        <f>datos!F129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datos!I124</f>
        <v>NI-MCPPT-06</v>
      </c>
      <c r="D28" s="758"/>
      <c r="E28" s="759"/>
      <c r="I28" s="78">
        <f>datos!C130</f>
        <v>0</v>
      </c>
      <c r="J28" s="78">
        <f>datos!D130</f>
        <v>0</v>
      </c>
      <c r="K28" s="78">
        <f>datos!E130</f>
        <v>0</v>
      </c>
      <c r="L28" s="78">
        <f>datos!F130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6.6450586704503867E-3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58.182417582417585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57.520879120879115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0.99961110935289121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-0.14254571714335237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datos!I124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0.99961110935289121</v>
      </c>
      <c r="AS37" s="368"/>
      <c r="AT37" s="181"/>
      <c r="AU37" s="175"/>
      <c r="AV37" s="378"/>
      <c r="AW37" s="366" t="s">
        <v>288</v>
      </c>
      <c r="AX37" s="405">
        <f>BH29</f>
        <v>6.6450586704503867E-3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2.6074201179525917E-5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0.57851648351648355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1.3338212034209714E-2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0.99961110935289121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14.4" thickBot="1" x14ac:dyDescent="0.3">
      <c r="L43" s="290" t="str">
        <f>IF(L35="mg",STDEV(L36:L39),IF(L35="g",STDEV(L36:L39)*1000,IF(L35="kg",STDEV(L36:L39)*1000000,"Error")))</f>
        <v>Error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1.3338212034209714E-2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1.3338212034209714E-2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1.7790790026953683E-4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1.1851909627057236E-5</v>
      </c>
      <c r="AT46" s="181"/>
      <c r="AU46" s="175"/>
      <c r="AV46" s="378"/>
      <c r="AW46" s="723">
        <f>SQRT((AS46*AX35)^2+(AS49*AX36)^2+(AS52*AX37)^2+(AX38^2)+(AS57*BR41)^2)</f>
        <v>6.6269785170895777E-4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1.1851909627057235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4.0296492731994602E-3</v>
      </c>
      <c r="AT49" s="181"/>
      <c r="AU49" s="175"/>
      <c r="AV49" s="366">
        <f>AW46*2</f>
        <v>1.3253957034179155E-3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1.1851909627057235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6.6269785170895777E-4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-1.1851909627057235E-2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1.3253957034179155E-3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-0.14254571714335237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03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03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v>2.0000001999999999E-2</v>
      </c>
      <c r="O97" s="206">
        <v>1.1E-5</v>
      </c>
      <c r="P97" s="221">
        <v>1.0000000000000001E-5</v>
      </c>
      <c r="Q97" s="207"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v>2.5157235220125782E-3</v>
      </c>
      <c r="Z97" s="202"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v>5.0000002000000002E-2</v>
      </c>
      <c r="O98" s="206">
        <v>1.0000000000000001E-5</v>
      </c>
      <c r="P98" s="221">
        <v>1.3333333333333335E-5</v>
      </c>
      <c r="Q98" s="207"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v>6.2893084276729565E-3</v>
      </c>
      <c r="Z98" s="202"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v>0.1</v>
      </c>
      <c r="O99" s="206">
        <v>1.2999999999999999E-5</v>
      </c>
      <c r="P99" s="221">
        <v>1.6666666666666667E-5</v>
      </c>
      <c r="Q99" s="207"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v>1.2578616352201259E-2</v>
      </c>
      <c r="Z99" s="202"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v>0.200000016</v>
      </c>
      <c r="O100" s="206">
        <v>1.4E-5</v>
      </c>
      <c r="P100" s="221">
        <v>2.0000000000000002E-5</v>
      </c>
      <c r="Q100" s="207"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v>2.5157234716981131E-2</v>
      </c>
      <c r="Z100" s="202"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v>0.50000003800000004</v>
      </c>
      <c r="O101" s="206">
        <v>1.7E-5</v>
      </c>
      <c r="P101" s="221">
        <v>2.666666666666667E-5</v>
      </c>
      <c r="Q101" s="207"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v>6.2893086540880508E-2</v>
      </c>
      <c r="Z101" s="202"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v>1.000000016</v>
      </c>
      <c r="O102" s="206">
        <v>3.3000000000000003E-5</v>
      </c>
      <c r="P102" s="221">
        <v>3.3333333333333335E-5</v>
      </c>
      <c r="Q102" s="207"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v>0.12578616553459118</v>
      </c>
      <c r="Z102" s="202"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v>1.999999965</v>
      </c>
      <c r="O103" s="206">
        <v>8.2999999999999998E-5</v>
      </c>
      <c r="P103" s="221">
        <v>4.0000000000000003E-5</v>
      </c>
      <c r="Q103" s="207"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v>0.25157232264150942</v>
      </c>
      <c r="Z103" s="202"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v>2.0000000359999999</v>
      </c>
      <c r="O104" s="206">
        <v>4.0000000000000003E-5</v>
      </c>
      <c r="P104" s="221">
        <v>4.0000000000000003E-5</v>
      </c>
      <c r="Q104" s="207"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v>0.25157233157232706</v>
      </c>
      <c r="Z104" s="202"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v>2.0000000359999999</v>
      </c>
      <c r="O105" s="206">
        <v>4.0000000000000003E-5</v>
      </c>
      <c r="P105" s="221">
        <v>4.0000000000000003E-5</v>
      </c>
      <c r="Q105" s="207"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v>0.25157233157232706</v>
      </c>
      <c r="Z105" s="202"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v>4.9999999219999998</v>
      </c>
      <c r="O106" s="206">
        <v>8.2999999999999998E-5</v>
      </c>
      <c r="P106" s="221">
        <v>1.6666666666666666E-4</v>
      </c>
      <c r="Q106" s="207"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v>0.62893080779874211</v>
      </c>
      <c r="Z106" s="202"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v>5.000000086</v>
      </c>
      <c r="O107" s="206">
        <v>5.3000000000000001E-5</v>
      </c>
      <c r="P107" s="221">
        <v>5.333333333333334E-5</v>
      </c>
      <c r="Q107" s="207"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v>0.62893082842767301</v>
      </c>
      <c r="Z107" s="202"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v>9.9999997969999992</v>
      </c>
      <c r="O108" s="206">
        <v>9.2E-5</v>
      </c>
      <c r="P108" s="221">
        <v>1.9999999999999998E-4</v>
      </c>
      <c r="Q108" s="207"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v>1.2578616096855346</v>
      </c>
      <c r="Z108" s="202"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v>9.9999999989999999</v>
      </c>
      <c r="O109" s="206">
        <v>6.7000000000000002E-5</v>
      </c>
      <c r="P109" s="221">
        <v>6.666666666666667E-5</v>
      </c>
      <c r="Q109" s="207"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v>1.2578616350943397</v>
      </c>
      <c r="Z109" s="202"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v>19.999999654</v>
      </c>
      <c r="O110" s="206">
        <v>8.8999999999999995E-5</v>
      </c>
      <c r="P110" s="221">
        <v>2.6666666666666668E-4</v>
      </c>
      <c r="Q110" s="207"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v>2.5157232269182388</v>
      </c>
      <c r="Z110" s="202"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v>19.999999654</v>
      </c>
      <c r="O111" s="206">
        <v>8.8999999999999995E-5</v>
      </c>
      <c r="P111" s="221">
        <v>2.6666666666666668E-4</v>
      </c>
      <c r="Q111" s="207"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v>2.5157232269182388</v>
      </c>
      <c r="Z111" s="202"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v>20.000000064000002</v>
      </c>
      <c r="O112" s="206">
        <v>8.2999999999999998E-5</v>
      </c>
      <c r="P112" s="221">
        <v>8.3333333333333331E-5</v>
      </c>
      <c r="Q112" s="207"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v>2.5157232784905661</v>
      </c>
      <c r="Z112" s="202"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v>20.000000127</v>
      </c>
      <c r="O113" s="206">
        <v>8.2999999999999998E-5</v>
      </c>
      <c r="P113" s="221">
        <v>8.3333333333333331E-5</v>
      </c>
      <c r="Q113" s="207"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v>2.5157232864150942</v>
      </c>
      <c r="Z113" s="202"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v>49.999999979999998</v>
      </c>
      <c r="O114" s="206">
        <v>1.4999999999999999E-4</v>
      </c>
      <c r="P114" s="221">
        <v>9.9999999999999991E-5</v>
      </c>
      <c r="Q114" s="207"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v>6.2893081735849057</v>
      </c>
      <c r="Z114" s="202"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v>50.000000217999997</v>
      </c>
      <c r="O115" s="206">
        <v>6.0999999999999999E-5</v>
      </c>
      <c r="P115" s="221">
        <v>9.9999999999999991E-5</v>
      </c>
      <c r="Q115" s="207"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v>6.2893082035220127</v>
      </c>
      <c r="Z115" s="202"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v>100.00000004100001</v>
      </c>
      <c r="O116" s="206">
        <v>1.2E-4</v>
      </c>
      <c r="P116" s="221">
        <v>1.6666666666666666E-4</v>
      </c>
      <c r="Q116" s="207"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v>12.578616357358491</v>
      </c>
      <c r="Z116" s="202"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v>199.99999983000001</v>
      </c>
      <c r="O117" s="206">
        <v>5.4000000000000001E-4</v>
      </c>
      <c r="P117" s="221">
        <v>3.3333333333333332E-4</v>
      </c>
      <c r="Q117" s="207"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v>25.157232683018865</v>
      </c>
      <c r="Z117" s="202"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v>199.99999983000001</v>
      </c>
      <c r="O118" s="206">
        <v>5.4000000000000001E-4</v>
      </c>
      <c r="P118" s="221">
        <v>3.3333333333333332E-4</v>
      </c>
      <c r="Q118" s="207"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v>25.157232683018865</v>
      </c>
      <c r="Z118" s="202"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v>200.00000001000001</v>
      </c>
      <c r="O119" s="206">
        <v>2.4000000000000001E-4</v>
      </c>
      <c r="P119" s="221">
        <v>3.3333333333333332E-4</v>
      </c>
      <c r="Q119" s="207"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v>25.157232705660377</v>
      </c>
      <c r="Z119" s="202"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v>199.99999998000001</v>
      </c>
      <c r="O120" s="206">
        <v>2.4000000000000001E-4</v>
      </c>
      <c r="P120" s="221">
        <v>3.3333333333333332E-4</v>
      </c>
      <c r="Q120" s="207"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v>25.157232701886791</v>
      </c>
      <c r="Z120" s="202"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v>500.00000030000001</v>
      </c>
      <c r="O121" s="206">
        <v>8.0999999999999996E-4</v>
      </c>
      <c r="P121" s="221">
        <v>8.3333333333333339E-4</v>
      </c>
      <c r="Q121" s="207"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v>62.893081798742138</v>
      </c>
      <c r="Z121" s="202"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v>500.00000075000003</v>
      </c>
      <c r="O122" s="206">
        <v>5.9000000000000003E-4</v>
      </c>
      <c r="P122" s="221">
        <v>8.3333333333333339E-4</v>
      </c>
      <c r="Q122" s="207"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v>62.893081855345912</v>
      </c>
      <c r="Z122" s="202"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v>1000.0000009</v>
      </c>
      <c r="O123" s="206">
        <v>8.2000000000000007E-3</v>
      </c>
      <c r="P123" s="221">
        <v>5.3333333333333332E-3</v>
      </c>
      <c r="Q123" s="207"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v>125.78616363522012</v>
      </c>
      <c r="Z123" s="202"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v>1000.0000009</v>
      </c>
      <c r="O124" s="206">
        <v>8.2000000000000007E-3</v>
      </c>
      <c r="P124" s="221">
        <v>5.3333333333333332E-3</v>
      </c>
      <c r="Q124" s="207"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v>125.78616363522012</v>
      </c>
      <c r="Z124" s="202"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v>1000.0000013</v>
      </c>
      <c r="O125" s="206">
        <v>1.1999999999999999E-3</v>
      </c>
      <c r="P125" s="221">
        <v>1.6666666666666668E-3</v>
      </c>
      <c r="Q125" s="207"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v>125.78616368553459</v>
      </c>
      <c r="Z125" s="202"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v>2000.0000027999999</v>
      </c>
      <c r="O126" s="206">
        <v>8.3000000000000001E-3</v>
      </c>
      <c r="P126" s="221">
        <v>0.01</v>
      </c>
      <c r="Q126" s="207"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v>251.5723273962264</v>
      </c>
      <c r="Z126" s="202"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v>2000.0000027999999</v>
      </c>
      <c r="O127" s="206">
        <v>8.3000000000000001E-3</v>
      </c>
      <c r="P127" s="221">
        <v>0.01</v>
      </c>
      <c r="Q127" s="207"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v>251.5723273962264</v>
      </c>
      <c r="Z127" s="202"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v>2000.0000027999999</v>
      </c>
      <c r="O128" s="206">
        <v>8.3000000000000001E-3</v>
      </c>
      <c r="P128" s="221">
        <v>0.01</v>
      </c>
      <c r="Q128" s="207"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v>251.5723273962264</v>
      </c>
      <c r="Z128" s="202"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v>2000.0000015999999</v>
      </c>
      <c r="O129" s="206">
        <v>2.7000000000000001E-3</v>
      </c>
      <c r="P129" s="221">
        <v>3.3333333333333335E-3</v>
      </c>
      <c r="Q129" s="207"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v>251.57232724528302</v>
      </c>
      <c r="Z129" s="202"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v>2000.0000017</v>
      </c>
      <c r="O130" s="206">
        <v>2.5999999999999999E-3</v>
      </c>
      <c r="P130" s="221">
        <v>3.3333333333333335E-3</v>
      </c>
      <c r="Q130" s="207"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v>251.57232725786162</v>
      </c>
      <c r="Z130" s="202"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v>5000.0000019999998</v>
      </c>
      <c r="O131" s="206">
        <v>8.2000000000000003E-2</v>
      </c>
      <c r="P131" s="221">
        <v>8.3333333333333329E-2</v>
      </c>
      <c r="Q131" s="207"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v>628.93081786163521</v>
      </c>
      <c r="Z131" s="202"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v>5000</v>
      </c>
      <c r="O132" s="206">
        <v>8.2000000000000003E-2</v>
      </c>
      <c r="P132" s="221">
        <v>2.6666666666666668E-2</v>
      </c>
      <c r="Q132" s="207"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v>628.93081761006295</v>
      </c>
      <c r="Z132" s="202"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v>5000.0000012</v>
      </c>
      <c r="O133" s="206">
        <v>6.1000000000000004E-3</v>
      </c>
      <c r="P133" s="221">
        <v>8.3333333333333332E-3</v>
      </c>
      <c r="Q133" s="207"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v>628.93081776100632</v>
      </c>
      <c r="Z133" s="202"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v>9999.9999970000008</v>
      </c>
      <c r="O134" s="206">
        <v>8.3000000000000004E-2</v>
      </c>
      <c r="P134" s="221">
        <v>0.16666666666666666</v>
      </c>
      <c r="Q134" s="207"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v>1282.0512816666667</v>
      </c>
      <c r="Z134" s="202"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v>9999.9999910000006</v>
      </c>
      <c r="O135" s="206">
        <v>1.4999999999999999E-2</v>
      </c>
      <c r="P135" s="221">
        <v>1.6666666666666666E-2</v>
      </c>
      <c r="Q135" s="207"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v>1257.8616340880503</v>
      </c>
      <c r="Z135" s="202"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v>19999.999981000001</v>
      </c>
      <c r="O136" s="206">
        <v>0.03</v>
      </c>
      <c r="P136" s="221">
        <v>3.3333333333333333E-2</v>
      </c>
      <c r="Q136" s="207"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v>2515.7232680503143</v>
      </c>
      <c r="Z136" s="202"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v>19999.999995999999</v>
      </c>
      <c r="O137" s="206">
        <v>8.7999999999999995E-2</v>
      </c>
      <c r="P137" s="221">
        <v>0.33333333333333331</v>
      </c>
      <c r="Q137" s="207"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v>2564.1025635897436</v>
      </c>
      <c r="Z137" s="202"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v>19999.999995999999</v>
      </c>
      <c r="O138" s="206">
        <v>8.7999999999999995E-2</v>
      </c>
      <c r="P138" s="221">
        <v>0.33333333333333331</v>
      </c>
      <c r="Q138" s="207"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v>2564.1025635897436</v>
      </c>
      <c r="Z138" s="202"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v>20000.000096</v>
      </c>
      <c r="O139" s="206">
        <v>8.7999999999999995E-2</v>
      </c>
      <c r="P139" s="221">
        <v>0.33333333333333331</v>
      </c>
      <c r="Q139" s="207"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v>2564.1025764102565</v>
      </c>
      <c r="Z139" s="202"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v>20000.000096</v>
      </c>
      <c r="O140" s="206">
        <v>8.7999999999999995E-2</v>
      </c>
      <c r="P140" s="221">
        <v>0.33333333333333331</v>
      </c>
      <c r="Q140" s="207"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v>2564.1025764102565</v>
      </c>
      <c r="Z140" s="202"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v>19999.999995999999</v>
      </c>
      <c r="O141" s="206">
        <v>8.7999999999999995E-2</v>
      </c>
      <c r="P141" s="221">
        <v>0.33333333333333331</v>
      </c>
      <c r="Q141" s="207"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v>2564.1025635897436</v>
      </c>
      <c r="Z141" s="202"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v>19999.999995999999</v>
      </c>
      <c r="O142" s="206">
        <v>8.7999999999999995E-2</v>
      </c>
      <c r="P142" s="221">
        <v>0.33333333333333331</v>
      </c>
      <c r="Q142" s="207"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v>2564.1025635897436</v>
      </c>
      <c r="Z142" s="202"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v>19999.999995999999</v>
      </c>
      <c r="O143" s="206">
        <v>8.7999999999999995E-2</v>
      </c>
      <c r="P143" s="221">
        <v>0.33333333333333331</v>
      </c>
      <c r="Q143" s="209"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v>2564.1025635897436</v>
      </c>
      <c r="Z143" s="279"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v>19999.999995999999</v>
      </c>
      <c r="O144" s="206">
        <v>8.7999999999999995E-2</v>
      </c>
      <c r="P144" s="221">
        <v>0.33333333333333331</v>
      </c>
      <c r="Q144" s="209"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v>2564.1025635897436</v>
      </c>
      <c r="Z144" s="279"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v>19999.999995999999</v>
      </c>
      <c r="O145" s="206">
        <v>8.7999999999999995E-2</v>
      </c>
      <c r="P145" s="221">
        <v>0.33333333333333331</v>
      </c>
      <c r="Q145" s="209"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v>2564.1025635897436</v>
      </c>
      <c r="Z145" s="279"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v>19999.999995999999</v>
      </c>
      <c r="O146" s="206">
        <v>8.7999999999999995E-2</v>
      </c>
      <c r="P146" s="221">
        <v>0.33333333333333331</v>
      </c>
      <c r="Q146" s="209"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v>2564.1025635897436</v>
      </c>
      <c r="Z146" s="279"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v>20000.000096</v>
      </c>
      <c r="O147" s="206">
        <v>8.7999999999999995E-2</v>
      </c>
      <c r="P147" s="221">
        <v>0.33333333333333331</v>
      </c>
      <c r="Q147" s="209"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v>2564.1025764102565</v>
      </c>
      <c r="Z147" s="279"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v>19999.999995999999</v>
      </c>
      <c r="O148" s="206">
        <v>8.7999999999999995E-2</v>
      </c>
      <c r="P148" s="221">
        <v>0.33333333333333331</v>
      </c>
      <c r="Q148" s="209"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v>2564.1025635897436</v>
      </c>
      <c r="Z148" s="279"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v>19999.999995999999</v>
      </c>
      <c r="O149" s="206">
        <v>8.7999999999999995E-2</v>
      </c>
      <c r="P149" s="221">
        <v>0.33333333333333331</v>
      </c>
      <c r="Q149" s="209"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v>2564.1025635897436</v>
      </c>
      <c r="Z149" s="279"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v>20000.000096</v>
      </c>
      <c r="O150" s="206">
        <v>8.7999999999999995E-2</v>
      </c>
      <c r="P150" s="221">
        <v>0.33333333333333331</v>
      </c>
      <c r="Q150" s="209"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v>2564.1025764102565</v>
      </c>
      <c r="Z150" s="279"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v>19999.999995999999</v>
      </c>
      <c r="O151" s="206">
        <v>8.7999999999999995E-2</v>
      </c>
      <c r="P151" s="221">
        <v>0.33333333333333331</v>
      </c>
      <c r="Q151" s="209"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v>2564.1025635897436</v>
      </c>
      <c r="Z151" s="279"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v>19999.999995999999</v>
      </c>
      <c r="O152" s="206">
        <v>8.7999999999999995E-2</v>
      </c>
      <c r="P152" s="221">
        <v>0.33333333333333331</v>
      </c>
      <c r="Q152" s="209"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v>2564.1025635897436</v>
      </c>
      <c r="Z152" s="279"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v>19999.999995999999</v>
      </c>
      <c r="O153" s="206">
        <v>8.7999999999999995E-2</v>
      </c>
      <c r="P153" s="221">
        <v>0.33333333333333331</v>
      </c>
      <c r="Q153" s="209"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v>2564.1025635897436</v>
      </c>
      <c r="Z153" s="279"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v>19999.999995999999</v>
      </c>
      <c r="O154" s="206">
        <v>8.7999999999999995E-2</v>
      </c>
      <c r="P154" s="221">
        <v>0.33333333333333331</v>
      </c>
      <c r="Q154" s="209"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v>2564.1025635897436</v>
      </c>
      <c r="Z154" s="279"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v>19999.999995999999</v>
      </c>
      <c r="O155" s="206">
        <v>8.7999999999999995E-2</v>
      </c>
      <c r="P155" s="221">
        <v>0.33333333333333331</v>
      </c>
      <c r="Q155" s="209"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v>2564.1025635897436</v>
      </c>
      <c r="Z155" s="279"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v>19999.999995999999</v>
      </c>
      <c r="O156" s="206">
        <v>8.7999999999999995E-2</v>
      </c>
      <c r="P156" s="221">
        <v>0.33333333333333331</v>
      </c>
      <c r="Q156" s="209"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v>2564.1025635897436</v>
      </c>
      <c r="Z156" s="279"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v>19999.999995999999</v>
      </c>
      <c r="O157" s="206">
        <v>8.7999999999999995E-2</v>
      </c>
      <c r="P157" s="221">
        <v>0.33333333333333331</v>
      </c>
      <c r="Q157" s="209"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v>2564.1025635897436</v>
      </c>
      <c r="Z157" s="279"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v>20000.000096</v>
      </c>
      <c r="O158" s="206">
        <v>8.7999999999999995E-2</v>
      </c>
      <c r="P158" s="221">
        <v>0.33333333333333331</v>
      </c>
      <c r="Q158" s="209"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v>2564.1025764102565</v>
      </c>
      <c r="Z158" s="279"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v>19999.999995999999</v>
      </c>
      <c r="O159" s="206">
        <v>8.7999999999999995E-2</v>
      </c>
      <c r="P159" s="221">
        <v>0.33333333333333331</v>
      </c>
      <c r="Q159" s="209"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v>2564.1025635897436</v>
      </c>
      <c r="Z159" s="279"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v>19999.999995999999</v>
      </c>
      <c r="O160" s="206">
        <v>8.7999999999999995E-2</v>
      </c>
      <c r="P160" s="221">
        <v>0.33333333333333331</v>
      </c>
      <c r="Q160" s="209"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v>2564.1025635897436</v>
      </c>
      <c r="Z160" s="279"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v>19999.999896000001</v>
      </c>
      <c r="O161" s="206">
        <v>8.7999999999999995E-2</v>
      </c>
      <c r="P161" s="221">
        <v>0.33333333333333331</v>
      </c>
      <c r="Q161" s="209"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v>2564.1025507692311</v>
      </c>
      <c r="Z161" s="279"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v>19999.999995999999</v>
      </c>
      <c r="O162" s="206">
        <v>8.7999999999999995E-2</v>
      </c>
      <c r="P162" s="221">
        <v>0.33333333333333331</v>
      </c>
      <c r="Q162" s="209"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v>2564.1025635897436</v>
      </c>
      <c r="Z162" s="279"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v>19999.999995999999</v>
      </c>
      <c r="O163" s="206">
        <v>8.7999999999999995E-2</v>
      </c>
      <c r="P163" s="221">
        <v>0.33333333333333331</v>
      </c>
      <c r="Q163" s="209"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v>2564.1025635897436</v>
      </c>
      <c r="Z163" s="279"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v>19999.999995999999</v>
      </c>
      <c r="O164" s="206">
        <v>8.7999999999999995E-2</v>
      </c>
      <c r="P164" s="221">
        <v>0.33333333333333331</v>
      </c>
      <c r="Q164" s="209"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v>2564.1025635897436</v>
      </c>
      <c r="Z164" s="279"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v>19999.999995999999</v>
      </c>
      <c r="O165" s="206">
        <v>8.7999999999999995E-2</v>
      </c>
      <c r="P165" s="221">
        <v>0.33333333333333331</v>
      </c>
      <c r="Q165" s="209"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v>2564.1025635897436</v>
      </c>
      <c r="Z165" s="279"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v>19999.999995999999</v>
      </c>
      <c r="O166" s="206">
        <v>8.7999999999999995E-2</v>
      </c>
      <c r="P166" s="221">
        <v>0.33333333333333331</v>
      </c>
      <c r="Q166" s="209"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v>2564.1025635897436</v>
      </c>
      <c r="Z166" s="279"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v>20000.000096</v>
      </c>
      <c r="O167" s="206">
        <v>8.7999999999999995E-2</v>
      </c>
      <c r="P167" s="221">
        <v>0.33333333333333331</v>
      </c>
      <c r="Q167" s="209"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v>2564.1025764102565</v>
      </c>
      <c r="Z167" s="279"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v>19999.999995999999</v>
      </c>
      <c r="O168" s="206">
        <v>8.7999999999999995E-2</v>
      </c>
      <c r="P168" s="221">
        <v>0.33333333333333331</v>
      </c>
      <c r="Q168" s="209"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v>2564.1025635897436</v>
      </c>
      <c r="Z168" s="279"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v>19999.999995999999</v>
      </c>
      <c r="O169" s="206">
        <v>8.7999999999999995E-2</v>
      </c>
      <c r="P169" s="221">
        <v>0.33333333333333331</v>
      </c>
      <c r="Q169" s="209"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v>2564.1025635897436</v>
      </c>
      <c r="Z169" s="279"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v>19999.999995999999</v>
      </c>
      <c r="O170" s="206">
        <v>8.7999999999999995E-2</v>
      </c>
      <c r="P170" s="221">
        <v>0.33333333333333331</v>
      </c>
      <c r="Q170" s="209"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v>2564.1025635897436</v>
      </c>
      <c r="Z170" s="279"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v>19999.999995999999</v>
      </c>
      <c r="O171" s="206">
        <v>8.7999999999999995E-2</v>
      </c>
      <c r="P171" s="221">
        <v>0.33333333333333331</v>
      </c>
      <c r="Q171" s="209"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v>2564.1025635897436</v>
      </c>
      <c r="Z171" s="279"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v>19999.999995999999</v>
      </c>
      <c r="O172" s="206">
        <v>8.7999999999999995E-2</v>
      </c>
      <c r="P172" s="208">
        <v>0.33333333333333331</v>
      </c>
      <c r="Q172" s="209"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v>2564.1025635897436</v>
      </c>
      <c r="Z172" s="279"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v>19999.999995999999</v>
      </c>
      <c r="O173" s="206">
        <v>8.7999999999999995E-2</v>
      </c>
      <c r="P173" s="208">
        <v>0.33333333333333331</v>
      </c>
      <c r="Q173" s="209"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v>2564.1025635897436</v>
      </c>
      <c r="Z173" s="279"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v>19999.999995999999</v>
      </c>
      <c r="O174" s="206">
        <v>8.7999999999999995E-2</v>
      </c>
      <c r="P174" s="208">
        <v>0.33333333333333331</v>
      </c>
      <c r="Q174" s="209"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v>2564.1025635897436</v>
      </c>
      <c r="Z174" s="279"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v>19999.999995999999</v>
      </c>
      <c r="O175" s="206">
        <v>8.7999999999999995E-2</v>
      </c>
      <c r="P175" s="208">
        <v>0.33333333333333331</v>
      </c>
      <c r="Q175" s="209"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v>2564.1025635897436</v>
      </c>
      <c r="Z175" s="279"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v>19999.999995999999</v>
      </c>
      <c r="O176" s="206">
        <v>8.7999999999999995E-2</v>
      </c>
      <c r="P176" s="208">
        <v>0.33333333333333331</v>
      </c>
      <c r="Q176" s="209"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v>2564.1025635897436</v>
      </c>
      <c r="Z176" s="279"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v>19999.999995999999</v>
      </c>
      <c r="O177" s="206">
        <v>8.7999999999999995E-2</v>
      </c>
      <c r="P177" s="208">
        <v>0.33333333333333331</v>
      </c>
      <c r="Q177" s="209"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v>2564.1025635897436</v>
      </c>
      <c r="Z177" s="279"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v>20000.000096</v>
      </c>
      <c r="O178" s="206">
        <v>8.7999999999999995E-2</v>
      </c>
      <c r="P178" s="208">
        <v>0.33333333333333331</v>
      </c>
      <c r="Q178" s="209"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v>2564.1025764102565</v>
      </c>
      <c r="Z178" s="279"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v>19999.999995999999</v>
      </c>
      <c r="O179" s="206">
        <v>8.7999999999999995E-2</v>
      </c>
      <c r="P179" s="208">
        <v>0.33333333333333331</v>
      </c>
      <c r="Q179" s="209"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v>2564.1025635897436</v>
      </c>
      <c r="Z179" s="279"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v>20000.000096</v>
      </c>
      <c r="O180" s="206">
        <v>8.7999999999999995E-2</v>
      </c>
      <c r="P180" s="208">
        <v>0.33333333333333331</v>
      </c>
      <c r="Q180" s="209"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v>2564.1025764102565</v>
      </c>
      <c r="Z180" s="279"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v>19999.999896000001</v>
      </c>
      <c r="O181" s="206">
        <v>8.7999999999999995E-2</v>
      </c>
      <c r="P181" s="208">
        <v>0.33333333333333331</v>
      </c>
      <c r="Q181" s="209"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v>2564.1025507692311</v>
      </c>
      <c r="Z181" s="279"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v>19999.999995999999</v>
      </c>
      <c r="O182" s="206">
        <v>8.7999999999999995E-2</v>
      </c>
      <c r="P182" s="208">
        <v>0.33333333333333331</v>
      </c>
      <c r="Q182" s="209"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v>2564.1025635897436</v>
      </c>
      <c r="Z182" s="279"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v>20000.000096</v>
      </c>
      <c r="O183" s="206">
        <v>8.7999999999999995E-2</v>
      </c>
      <c r="P183" s="208">
        <v>0.33333333333333331</v>
      </c>
      <c r="Q183" s="209"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v>2564.1025764102565</v>
      </c>
      <c r="Z183" s="279"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v>19999.999995999999</v>
      </c>
      <c r="O184" s="206">
        <v>8.7999999999999995E-2</v>
      </c>
      <c r="P184" s="208">
        <v>0.33333333333333331</v>
      </c>
      <c r="Q184" s="209"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v>2564.1025635897436</v>
      </c>
      <c r="Z184" s="279"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v>19999.999995999999</v>
      </c>
      <c r="O185" s="206">
        <v>8.7999999999999995E-2</v>
      </c>
      <c r="P185" s="208">
        <v>0.33333333333333331</v>
      </c>
      <c r="Q185" s="209"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v>2564.1025635897436</v>
      </c>
      <c r="Z185" s="279"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v>19999.999995999999</v>
      </c>
      <c r="O186" s="206">
        <v>8.7999999999999995E-2</v>
      </c>
      <c r="P186" s="208">
        <v>0.33333333333333331</v>
      </c>
      <c r="Q186" s="209"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v>2564.1025635897436</v>
      </c>
      <c r="Z186" s="279"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v>100.000000314</v>
      </c>
      <c r="O187" s="206">
        <v>1.1900000000000001E-4</v>
      </c>
      <c r="P187" s="208">
        <v>1.6666666666666666E-4</v>
      </c>
      <c r="Q187" s="209"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v>12.578616391698114</v>
      </c>
      <c r="Z187" s="279"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v>50.000000127</v>
      </c>
      <c r="O188" s="206">
        <v>6.0999999999999999E-5</v>
      </c>
      <c r="P188" s="208">
        <v>9.9999999999999991E-5</v>
      </c>
      <c r="Q188" s="209"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v>6.2893081920754712</v>
      </c>
      <c r="Z188" s="279"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v>9999.9999910000006</v>
      </c>
      <c r="O189" s="206">
        <v>1.4999999999999999E-2</v>
      </c>
      <c r="P189" s="208">
        <v>1.6666666666666666E-2</v>
      </c>
      <c r="Q189" s="209"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v>1257.8616340880503</v>
      </c>
      <c r="Z189" s="279"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v>19999.999981000001</v>
      </c>
      <c r="O190" s="206">
        <v>0.03</v>
      </c>
      <c r="P190" s="208">
        <v>3.3333333333333333E-2</v>
      </c>
      <c r="Q190" s="209"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v>2515.7232680503143</v>
      </c>
      <c r="Z190" s="279"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v>9999.9999970000008</v>
      </c>
      <c r="O191" s="206">
        <v>8.3000000000000004E-2</v>
      </c>
      <c r="P191" s="208">
        <v>0.16666666666666666</v>
      </c>
      <c r="Q191" s="209"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v>1282.0512816666667</v>
      </c>
      <c r="Z191" s="279"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v>500.00000020300001</v>
      </c>
      <c r="O192" s="206">
        <v>5.9000000000000003E-4</v>
      </c>
      <c r="P192" s="208">
        <v>8.3333333333333339E-4</v>
      </c>
      <c r="Q192" s="209"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v>62.893081786540876</v>
      </c>
      <c r="Z192" s="279"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tblBD_PatronMasa13157[[#This Row],[Masa nominal mN                              (g)]]+(tblBD_PatronMasa13157[[#This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tblBD_PatronMasa13157[[#This Row],[Masa nominal mN                              (g)]]+(tblBD_PatronMasa13157[[#This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tblBD_PatronMasa13157[[#This Row],[Masa nominal mN                              (g)]]+(tblBD_PatronMasa13157[[#This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tblBD_PatronMasa13157[[#This Row],[Masa nominal mN                              (g)]]+(tblBD_PatronMasa13157[[#This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tblBD_PatronMasa13157[[#This Row],[Masa nominal mN                              (g)]]+(tblBD_PatronMasa13157[[#This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tblBD_PatronMasa13157[[#This Row],[Masa nominal mN                              (g)]]+(tblBD_PatronMasa13157[[#This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tblBD_PatronMasa13157[[#This Row],[Masa nominal mN                              (g)]]+(tblBD_PatronMasa13157[[#This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tblBD_PatronMasa13157[[#This Row],[Masa nominal mN                              (g)]]+(tblBD_PatronMasa13157[[#This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tblBD_PatronMasa13157[[#This Row],[Masa nominal mN                              (g)]]+(tblBD_PatronMasa13157[[#This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tblBD_PatronMasa13157[[#This Row],[Masa nominal mN                              (g)]]+(tblBD_PatronMasa13157[[#This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tblBD_PatronMasa13157[[#This Row],[Masa nominal mN                              (g)]]+(tblBD_PatronMasa13157[[#This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tblBD_PatronMasa13157[[#This Row],[Masa nominal mN                              (g)]]+(tblBD_PatronMasa13157[[#This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tblBD_PatronMasa13157[[#This Row],[Masa nominal mN                              (g)]]+(tblBD_PatronMasa13157[[#This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tblBD_PatronMasa13157[[#This Row],[Masa nominal mN                              (g)]]+(tblBD_PatronMasa13157[[#This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tblBD_PatronMasa13157[[#This Row],[Masa nominal mN                              (g)]]+(tblBD_PatronMasa13157[[#This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tblBD_PatronMasa13157[[#This Row],[Masa nominal mN                              (g)]]+(tblBD_PatronMasa13157[[#This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tblBD_PatronMasa13157[[#This Row],[Masa nominal mN                              (g)]]+(tblBD_PatronMasa13157[[#This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tblBD_PatronMasa13157[[#This Row],[Masa nominal mN                              (g)]]+(tblBD_PatronMasa13157[[#This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tblBD_PatronMasa13157[[#This Row],[Masa nominal mN                              (g)]]+(tblBD_PatronMasa13157[[#This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tblBD_PatronMasa13157[[#This Row],[Masa nominal mN                              (g)]]+(tblBD_PatronMasa13157[[#This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tblBD_PatronMasa13157[[#This Row],[Masa nominal mN                              (g)]]+(tblBD_PatronMasa13157[[#This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tblBD_PatronMasa13157[[#This Row],[Masa nominal mN                              (g)]]+(tblBD_PatronMasa13157[[#This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tblBD_PatronMasa13157[[#This Row],[Masa nominal mN                              (g)]]+(tblBD_PatronMasa13157[[#This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tblBD_PatronMasa13157[[#This Row],[Masa nominal mN                              (g)]]+(tblBD_PatronMasa13157[[#This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tblBD_PatronMasa13157[[#This Row],[Masa nominal mN                              (g)]]+(tblBD_PatronMasa13157[[#This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tblBD_PatronMasa13157[[#This Row],[Masa nominal mN                              (g)]]+(tblBD_PatronMasa13157[[#This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tblBD_PatronMasa13157[[#This Row],[Masa nominal mN                              (g)]]+(tblBD_PatronMasa13157[[#This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tblBD_PatronMasa13157[[#This Row],[Masa nominal mN                              (g)]]+(tblBD_PatronMasa13157[[#This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tblBD_PatronMasa13157[[#This Row],[Masa nominal mN                              (g)]]+(tblBD_PatronMasa13157[[#This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tblBD_PatronMasa13157[[#This Row],[Masa nominal mN                              (g)]]+(tblBD_PatronMasa13157[[#This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tblBD_PatronMasa13157[[#This Row],[Masa nominal mN                              (g)]]+(tblBD_PatronMasa13157[[#This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tblBD_PatronMasa13157[[#This Row],[Masa nominal mN                              (g)]]+(tblBD_PatronMasa13157[[#This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tblBD_PatronMasa13157[[#This Row],[Masa nominal mN                              (g)]]+(tblBD_PatronMasa13157[[#This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tblBD_PatronMasa13157[[#This Row],[Masa nominal mN                              (g)]]+(tblBD_PatronMasa13157[[#This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tblBD_PatronMasa13157[[#This Row],[Masa nominal mN                              (g)]]+(tblBD_PatronMasa13157[[#This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tblBD_PatronMasa13157[[#This Row],[Masa nominal mN                              (g)]]+(tblBD_PatronMasa13157[[#This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tblBD_PatronMasa13157[[#This Row],[Masa nominal mN                              (g)]]+(tblBD_PatronMasa13157[[#This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tblBD_PatronMasa13157[[#This Row],[Masa nominal mN                              (g)]]+(tblBD_PatronMasa13157[[#This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tblBD_PatronMasa13157[[#This Row],[Masa nominal mN                              (g)]]+(tblBD_PatronMasa13157[[#This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tblBD_PatronMasa13157[[#This Row],[Masa nominal mN                              (g)]]+(tblBD_PatronMasa13157[[#This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tblBD_PatronMasa13157[[#This Row],[Masa nominal mN                              (g)]]+(tblBD_PatronMasa13157[[#This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tblBD_PatronMasa13157[[#This Row],[Masa nominal mN                              (g)]]+(tblBD_PatronMasa13157[[#This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tblBD_PatronMasa13157[[#This Row],[Masa nominal mN                              (g)]]+(tblBD_PatronMasa13157[[#This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tblBD_PatronMasa13157[[#This Row],[Masa nominal mN                              (g)]]+(tblBD_PatronMasa13157[[#This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tblBD_PatronMasa13157[[#This Row],[Masa nominal mN                              (g)]]+(tblBD_PatronMasa13157[[#This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tblBD_PatronMasa13157[[#This Row],[Masa nominal mN                              (g)]]+(tblBD_PatronMasa13157[[#This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tblBD_PatronMasa13157[[#This Row],[Masa nominal mN                              (g)]]+(tblBD_PatronMasa13157[[#This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tblBD_PatronMasa13157[[#This Row],[Masa nominal mN                              (g)]]+(tblBD_PatronMasa13157[[#This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tblBD_PatronMasa13157[[#This Row],[Masa nominal mN                              (g)]]+(tblBD_PatronMasa13157[[#This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tblBD_PatronMasa13157[[#This Row],[Masa nominal mN                              (g)]]+(tblBD_PatronMasa13157[[#This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tblBD_PatronMasa13157[[#This Row],[Masa nominal mN                              (g)]]+(tblBD_PatronMasa13157[[#This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tblBD_PatronMasa13157[[#This Row],[Masa nominal mN                              (g)]]+(tblBD_PatronMasa13157[[#This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tblBD_PatronMasa13157[[#This Row],[Masa nominal mN                              (g)]]+(tblBD_PatronMasa13157[[#This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tblBD_PatronMasa13157[[#This Row],[Masa nominal mN                              (g)]]+(tblBD_PatronMasa13157[[#This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tblBD_PatronMasa13157[[#This Row],[Masa nominal mN                              (g)]]+(tblBD_PatronMasa13157[[#This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tblBD_PatronMasa13157[[#This Row],[Masa nominal mN                              (g)]]+(tblBD_PatronMasa13157[[#This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datos!H124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datos!I124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datos!H128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datos!I128</f>
        <v>19.7</v>
      </c>
      <c r="O352" s="245">
        <f>(O353-O351)/(N353-N351)*(N352-N351)+O351</f>
        <v>0.11951417004048583</v>
      </c>
      <c r="P352" s="245">
        <f>(P353-P351)/(N353-N351)*(N352-N351)+P351</f>
        <v>0.25487854251012149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19.819514170040485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61.866563467492263</v>
      </c>
      <c r="S360" s="246">
        <f>N370+O370</f>
        <v>61.130443756449942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datos!H129</f>
        <v>58</v>
      </c>
      <c r="J370" s="249">
        <f>(J371-J369)/(I371-I369)*(I370-I369)+J369</f>
        <v>3.8665634674922598</v>
      </c>
      <c r="K370" s="249">
        <f>(K371-K369)/(I371-I369)*(I370-I369)+K369</f>
        <v>0.6</v>
      </c>
      <c r="L370" s="242"/>
      <c r="M370" s="243"/>
      <c r="N370" s="32">
        <f>datos!I129</f>
        <v>57.3</v>
      </c>
      <c r="O370" s="249">
        <f>(O371-O369)/(N371-N369)*(N370-N369)+O369</f>
        <v>3.8304437564499478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datos!H130*100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datos!I130*100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datos!H128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datos!I128</f>
        <v>19.7</v>
      </c>
      <c r="O406" s="245">
        <f>(O407-O405)/(N407-N405)*(N406-N405)+O405</f>
        <v>-8.3969465648854991E-2</v>
      </c>
      <c r="P406" s="245">
        <f>(P407-P405)/(N407-N405)*(N406-N405)+P405</f>
        <v>0.25114503816793893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19.616030534351143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59.841208791208793</v>
      </c>
      <c r="S414" s="246">
        <f>N424+O424</f>
        <v>59.160439560439556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datos!H129</f>
        <v>58</v>
      </c>
      <c r="J424" s="249">
        <f>(J425-J423)/(I425-I423)*(I424-I423)+J423</f>
        <v>1.8412087912087913</v>
      </c>
      <c r="K424" s="249">
        <f>(K425-K423)/(I425-I423)*(I424-I423)+K423</f>
        <v>1.3</v>
      </c>
      <c r="L424" s="242"/>
      <c r="M424" s="243"/>
      <c r="N424" s="32">
        <f>datos!I129</f>
        <v>57.3</v>
      </c>
      <c r="O424" s="249">
        <f>(O425-O423)/(N425-N423)*(N424-N423)+O423</f>
        <v>1.8604395604395605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datos!H130*100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datos!I130*100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datos!H128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datos!I128</f>
        <v>19.7</v>
      </c>
      <c r="O459" s="245">
        <f>(O460-O458)/(N460-N458)*(N459-N458)+O458</f>
        <v>-8.1145038167938943E-2</v>
      </c>
      <c r="P459" s="245">
        <f>(P460-P458)/(N460-N458)*(N459-N458)+P458</f>
        <v>0.25942748091603052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19.61885496183206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58.182417582417585</v>
      </c>
      <c r="S467" s="246">
        <f>N477+O477</f>
        <v>57.520879120879115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datos!H129</f>
        <v>58</v>
      </c>
      <c r="J477" s="249">
        <f>(J478-J476)/(I478-I476)*(I477-I476)+J476</f>
        <v>0.18241758241758244</v>
      </c>
      <c r="K477" s="249">
        <f>(K478-K476)/(I478-I476)*(I477-I476)+K476</f>
        <v>1.3</v>
      </c>
      <c r="L477" s="242"/>
      <c r="M477" s="243"/>
      <c r="N477" s="32">
        <f>datos!I129</f>
        <v>57.3</v>
      </c>
      <c r="O477" s="249">
        <f>(O478-O476)/(N478-N476)*(N477-N476)+O476</f>
        <v>0.22087912087912109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datos!H130*100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datos!I130*100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datos!H128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datos!I128</f>
        <v>19.7</v>
      </c>
      <c r="O513" s="245">
        <f>(O514-O512)/(N514-N512)*(N513-N512)+O512</f>
        <v>6.6567164179104382E-2</v>
      </c>
      <c r="P513" s="245">
        <f>(P514-P512)/(N514-N512)*(N513-N512)+P512</f>
        <v>3.8895522388059704E-2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19.766567164179104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61.866563467492263</v>
      </c>
      <c r="S521" s="246">
        <f>N531+O531</f>
        <v>61.130443756449942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datos!H129</f>
        <v>58</v>
      </c>
      <c r="J531" s="249">
        <f>(J532-J530)/(I532-I530)*(I531-I530)+J530</f>
        <v>3.8665634674922598</v>
      </c>
      <c r="K531" s="249">
        <f>(K532-K530)/(I532-I530)*(I531-I530)+K530</f>
        <v>0.6</v>
      </c>
      <c r="L531" s="242"/>
      <c r="M531" s="243"/>
      <c r="N531" s="32">
        <f>datos!I129</f>
        <v>57.3</v>
      </c>
      <c r="O531" s="249">
        <f>(O532-O530)/(N532-N530)*(N531-N530)+O530</f>
        <v>3.8304437564499478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datos!H130*100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datos!I130*100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62" priority="20">
      <formula>M143&gt;P143</formula>
    </cfRule>
  </conditionalFormatting>
  <conditionalFormatting sqref="N97:N248">
    <cfRule type="cellIs" dxfId="61" priority="1" operator="lessThan">
      <formula>Z97</formula>
    </cfRule>
  </conditionalFormatting>
  <conditionalFormatting sqref="P97:P248">
    <cfRule type="expression" dxfId="60" priority="2">
      <formula>P97&gt;S97</formula>
    </cfRule>
  </conditionalFormatting>
  <hyperlinks>
    <hyperlink ref="BQ44" r:id="rId1" xr:uid="{00000000-0004-0000-08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4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4347" r:id="rId4"/>
      </mc:Fallback>
    </mc:AlternateContent>
    <mc:AlternateContent xmlns:mc="http://schemas.openxmlformats.org/markup-compatibility/2006">
      <mc:Choice Requires="x14">
        <oleObject progId="Equation.3" shapeId="1434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4348" r:id="rId6"/>
      </mc:Fallback>
    </mc:AlternateContent>
    <mc:AlternateContent xmlns:mc="http://schemas.openxmlformats.org/markup-compatibility/2006">
      <mc:Choice Requires="x14">
        <oleObject progId="Equation.3" shapeId="1435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4350" r:id="rId8"/>
      </mc:Fallback>
    </mc:AlternateContent>
    <mc:AlternateContent xmlns:mc="http://schemas.openxmlformats.org/markup-compatibility/2006">
      <mc:Choice Requires="x14">
        <oleObject progId="Equation.3" shapeId="1435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4351" r:id="rId10"/>
      </mc:Fallback>
    </mc:AlternateContent>
    <mc:AlternateContent xmlns:mc="http://schemas.openxmlformats.org/markup-compatibility/2006">
      <mc:Choice Requires="x14">
        <oleObject progId="Equation.3" shapeId="1435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4352" r:id="rId12"/>
      </mc:Fallback>
    </mc:AlternateContent>
    <mc:AlternateContent xmlns:mc="http://schemas.openxmlformats.org/markup-compatibility/2006">
      <mc:Choice Requires="x14">
        <oleObject progId="Equation.3" shapeId="1435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4353" r:id="rId14"/>
      </mc:Fallback>
    </mc:AlternateContent>
    <mc:AlternateContent xmlns:mc="http://schemas.openxmlformats.org/markup-compatibility/2006">
      <mc:Choice Requires="x14">
        <oleObject progId="Equation.3" shapeId="1435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4354" r:id="rId16"/>
      </mc:Fallback>
    </mc:AlternateContent>
    <mc:AlternateContent xmlns:mc="http://schemas.openxmlformats.org/markup-compatibility/2006">
      <mc:Choice Requires="x14">
        <oleObject progId="Equation.3" shapeId="1435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4355" r:id="rId18"/>
      </mc:Fallback>
    </mc:AlternateContent>
    <mc:AlternateContent xmlns:mc="http://schemas.openxmlformats.org/markup-compatibility/2006">
      <mc:Choice Requires="x14">
        <oleObject progId="Equation.3" shapeId="14358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4358" r:id="rId19"/>
      </mc:Fallback>
    </mc:AlternateContent>
    <mc:AlternateContent xmlns:mc="http://schemas.openxmlformats.org/markup-compatibility/2006">
      <mc:Choice Requires="x14">
        <oleObject progId="Equation.3" shapeId="14359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4359" r:id="rId21"/>
      </mc:Fallback>
    </mc:AlternateContent>
    <mc:AlternateContent xmlns:mc="http://schemas.openxmlformats.org/markup-compatibility/2006">
      <mc:Choice Requires="x14">
        <oleObject progId="Equation.3" shapeId="14376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236220</xdr:rowOff>
              </from>
              <to>
                <xdr:col>9</xdr:col>
                <xdr:colOff>861060</xdr:colOff>
                <xdr:row>43</xdr:row>
                <xdr:rowOff>259080</xdr:rowOff>
              </to>
            </anchor>
          </objectPr>
        </oleObject>
      </mc:Choice>
      <mc:Fallback>
        <oleObject progId="Equation.3" shapeId="14376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datos!G141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datos!C133</f>
        <v>N/A</v>
      </c>
      <c r="J5" s="569" t="str">
        <f>datos!C134</f>
        <v>N/A</v>
      </c>
      <c r="K5" s="569" t="str">
        <f>datos!C135</f>
        <v>N/A</v>
      </c>
      <c r="L5" s="569" t="str">
        <f>datos!C136</f>
        <v>N/A</v>
      </c>
      <c r="M5" s="569" t="str">
        <f>datos!C137</f>
        <v>N/A</v>
      </c>
      <c r="N5" s="569" t="str">
        <f>datos!C138</f>
        <v>N/A</v>
      </c>
      <c r="O5" s="569" t="str">
        <f>datos!C139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datos!C133</f>
        <v>N/A</v>
      </c>
      <c r="J6" s="569" t="str">
        <f>datos!C134</f>
        <v>N/A</v>
      </c>
      <c r="K6" s="569" t="str">
        <f>datos!C135</f>
        <v>N/A</v>
      </c>
      <c r="L6" s="569" t="str">
        <f>datos!C136</f>
        <v>N/A</v>
      </c>
      <c r="M6" s="569" t="str">
        <f>datos!C137</f>
        <v>N/A</v>
      </c>
      <c r="N6" s="569" t="str">
        <f>datos!C138</f>
        <v>N/A</v>
      </c>
      <c r="O6" s="569" t="str">
        <f>datos!C139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19.317709923664122</v>
      </c>
      <c r="AD6" s="192">
        <f>C30</f>
        <v>50.243956043956047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datos!E141</f>
        <v>0</v>
      </c>
      <c r="D7" s="118" t="str">
        <f>datos!F141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19.21732824427481</v>
      </c>
      <c r="AD7" s="192">
        <f>C31</f>
        <v>52.984615384615381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51.614285714285714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1.1878179701562275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50.243956043956047</v>
      </c>
      <c r="BG15" s="368" t="s">
        <v>42</v>
      </c>
      <c r="BH15" s="478">
        <f>AVERAGE(BF14:BF15)</f>
        <v>51.614285714285714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datos!H141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2.6131995343437003E-5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datos!I141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datos!D140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datos!C143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0.55943474528399573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19.317709923664122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datos!C144</f>
        <v>0</v>
      </c>
      <c r="J25" s="78">
        <f>datos!D144</f>
        <v>0</v>
      </c>
      <c r="K25" s="78">
        <f>datos!E144</f>
        <v>0</v>
      </c>
      <c r="L25" s="78">
        <f>datos!F144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19.21732824427481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datos!C145</f>
        <v>0</v>
      </c>
      <c r="J26" s="78">
        <f>datos!D145</f>
        <v>0</v>
      </c>
      <c r="K26" s="78">
        <f>datos!E145</f>
        <v>0</v>
      </c>
      <c r="L26" s="78">
        <f>datos!F145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datos!C146</f>
        <v>0</v>
      </c>
      <c r="J27" s="78">
        <f>datos!D146</f>
        <v>0</v>
      </c>
      <c r="K27" s="78">
        <f>datos!E146</f>
        <v>0</v>
      </c>
      <c r="L27" s="78">
        <f>datos!F146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datos!I141</f>
        <v>NI-MCPPT-06</v>
      </c>
      <c r="D28" s="758"/>
      <c r="E28" s="759"/>
      <c r="I28" s="78">
        <f>datos!C147</f>
        <v>0</v>
      </c>
      <c r="J28" s="78">
        <f>datos!D147</f>
        <v>0</v>
      </c>
      <c r="K28" s="78">
        <f>datos!E147</f>
        <v>0</v>
      </c>
      <c r="L28" s="78">
        <f>datos!F147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0.85807958113703098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8.5807958113703099E-3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50.243956043956047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52.984615384615381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0.99961209716305865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-0.14286167353582951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datos!I141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0.99961209716305865</v>
      </c>
      <c r="AS37" s="368"/>
      <c r="AT37" s="181"/>
      <c r="AU37" s="175"/>
      <c r="AV37" s="378"/>
      <c r="AW37" s="366" t="s">
        <v>288</v>
      </c>
      <c r="AX37" s="405">
        <f>BH29</f>
        <v>8.5807958113703099E-3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2.6131995343437003E-5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0.51614285714285713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1.1570360550477573E-2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0.99961209716305865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1.1570360550477573E-2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1.1570360550477573E-2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1.338732432680477E-4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1.1878179701562276E-5</v>
      </c>
      <c r="AT46" s="181"/>
      <c r="AU46" s="175"/>
      <c r="AV46" s="378"/>
      <c r="AW46" s="723">
        <f>SQRT((AS46*AX35)^2+(AS49*AX36)^2+(AS52*AX37)^2+(AX38^2)+(AS57*BR41)^2)</f>
        <v>6.5171487085081666E-4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1.1878179701562275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4.0385810985311731E-3</v>
      </c>
      <c r="AT49" s="181"/>
      <c r="AU49" s="175"/>
      <c r="AV49" s="366">
        <f>AW46*2</f>
        <v>1.3034297417016333E-3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1.1878179701562275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6.5171487085081666E-4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-1.1878179701562274E-2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1.3034297417016333E-3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-0.14286167353582951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tblBD_PatronMasa13158[[#This Row],[Masa nominal mN                              (g)]]+(tblBD_PatronMasa13158[[#This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tblBD_PatronMasa13158[[#This Row],[Masa nominal mN                              (g)]]+(tblBD_PatronMasa13158[[#This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tblBD_PatronMasa13158[[#This Row],[Masa nominal mN                              (g)]]+(tblBD_PatronMasa13158[[#This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tblBD_PatronMasa13158[[#This Row],[Masa nominal mN                              (g)]]+(tblBD_PatronMasa13158[[#This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tblBD_PatronMasa13158[[#This Row],[Masa nominal mN                              (g)]]+(tblBD_PatronMasa13158[[#This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tblBD_PatronMasa13158[[#This Row],[Masa nominal mN                              (g)]]+(tblBD_PatronMasa13158[[#This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tblBD_PatronMasa13158[[#This Row],[Masa nominal mN                              (g)]]+(tblBD_PatronMasa13158[[#This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tblBD_PatronMasa13158[[#This Row],[Masa nominal mN                              (g)]]+(tblBD_PatronMasa13158[[#This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tblBD_PatronMasa13158[[#This Row],[Masa nominal mN                              (g)]]+(tblBD_PatronMasa13158[[#This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tblBD_PatronMasa13158[[#This Row],[Masa nominal mN                              (g)]]+(tblBD_PatronMasa13158[[#This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tblBD_PatronMasa13158[[#This Row],[Masa nominal mN                              (g)]]+(tblBD_PatronMasa13158[[#This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tblBD_PatronMasa13158[[#This Row],[Masa nominal mN                              (g)]]+(tblBD_PatronMasa13158[[#This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tblBD_PatronMasa13158[[#This Row],[Masa nominal mN                              (g)]]+(tblBD_PatronMasa13158[[#This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tblBD_PatronMasa13158[[#This Row],[Masa nominal mN                              (g)]]+(tblBD_PatronMasa13158[[#This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tblBD_PatronMasa13158[[#This Row],[Masa nominal mN                              (g)]]+(tblBD_PatronMasa13158[[#This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tblBD_PatronMasa13158[[#This Row],[Masa nominal mN                              (g)]]+(tblBD_PatronMasa13158[[#This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tblBD_PatronMasa13158[[#This Row],[Masa nominal mN                              (g)]]+(tblBD_PatronMasa13158[[#This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tblBD_PatronMasa13158[[#This Row],[Masa nominal mN                              (g)]]+(tblBD_PatronMasa13158[[#This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tblBD_PatronMasa13158[[#This Row],[Masa nominal mN                              (g)]]+(tblBD_PatronMasa13158[[#This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tblBD_PatronMasa13158[[#This Row],[Masa nominal mN                              (g)]]+(tblBD_PatronMasa13158[[#This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tblBD_PatronMasa13158[[#This Row],[Masa nominal mN                              (g)]]+(tblBD_PatronMasa13158[[#This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tblBD_PatronMasa13158[[#This Row],[Masa nominal mN                              (g)]]+(tblBD_PatronMasa13158[[#This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tblBD_PatronMasa13158[[#This Row],[Masa nominal mN                              (g)]]+(tblBD_PatronMasa13158[[#This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tblBD_PatronMasa13158[[#This Row],[Masa nominal mN                              (g)]]+(tblBD_PatronMasa13158[[#This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tblBD_PatronMasa13158[[#This Row],[Masa nominal mN                              (g)]]+(tblBD_PatronMasa13158[[#This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tblBD_PatronMasa13158[[#This Row],[Masa nominal mN                              (g)]]+(tblBD_PatronMasa13158[[#This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tblBD_PatronMasa13158[[#This Row],[Masa nominal mN                              (g)]]+(tblBD_PatronMasa13158[[#This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tblBD_PatronMasa13158[[#This Row],[Masa nominal mN                              (g)]]+(tblBD_PatronMasa13158[[#This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tblBD_PatronMasa13158[[#This Row],[Masa nominal mN                              (g)]]+(tblBD_PatronMasa13158[[#This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tblBD_PatronMasa13158[[#This Row],[Masa nominal mN                              (g)]]+(tblBD_PatronMasa13158[[#This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tblBD_PatronMasa13158[[#This Row],[Masa nominal mN                              (g)]]+(tblBD_PatronMasa13158[[#This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tblBD_PatronMasa13158[[#This Row],[Masa nominal mN                              (g)]]+(tblBD_PatronMasa13158[[#This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tblBD_PatronMasa13158[[#This Row],[Masa nominal mN                              (g)]]+(tblBD_PatronMasa13158[[#This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tblBD_PatronMasa13158[[#This Row],[Masa nominal mN                              (g)]]+(tblBD_PatronMasa13158[[#This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tblBD_PatronMasa13158[[#This Row],[Masa nominal mN                              (g)]]+(tblBD_PatronMasa13158[[#This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tblBD_PatronMasa13158[[#This Row],[Masa nominal mN                              (g)]]+(tblBD_PatronMasa13158[[#This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tblBD_PatronMasa13158[[#This Row],[Masa nominal mN                              (g)]]+(tblBD_PatronMasa13158[[#This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tblBD_PatronMasa13158[[#This Row],[Masa nominal mN                              (g)]]+(tblBD_PatronMasa13158[[#This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tblBD_PatronMasa13158[[#This Row],[Masa nominal mN                              (g)]]+(tblBD_PatronMasa13158[[#This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tblBD_PatronMasa13158[[#This Row],[Masa nominal mN                              (g)]]+(tblBD_PatronMasa13158[[#This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tblBD_PatronMasa13158[[#This Row],[Masa nominal mN                              (g)]]+(tblBD_PatronMasa13158[[#This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tblBD_PatronMasa13158[[#This Row],[Masa nominal mN                              (g)]]+(tblBD_PatronMasa13158[[#This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tblBD_PatronMasa13158[[#This Row],[Masa nominal mN                              (g)]]+(tblBD_PatronMasa13158[[#This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tblBD_PatronMasa13158[[#This Row],[Masa nominal mN                              (g)]]+(tblBD_PatronMasa13158[[#This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tblBD_PatronMasa13158[[#This Row],[Masa nominal mN                              (g)]]+(tblBD_PatronMasa13158[[#This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tblBD_PatronMasa13158[[#This Row],[Masa nominal mN                              (g)]]+(tblBD_PatronMasa13158[[#This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tblBD_PatronMasa13158[[#This Row],[Masa nominal mN                              (g)]]+(tblBD_PatronMasa13158[[#This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tblBD_PatronMasa13158[[#This Row],[Masa nominal mN                              (g)]]+(tblBD_PatronMasa13158[[#This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tblBD_PatronMasa13158[[#This Row],[Masa nominal mN                              (g)]]+(tblBD_PatronMasa13158[[#This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tblBD_PatronMasa13158[[#This Row],[Masa nominal mN                              (g)]]+(tblBD_PatronMasa13158[[#This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tblBD_PatronMasa13158[[#This Row],[Masa nominal mN                              (g)]]+(tblBD_PatronMasa13158[[#This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tblBD_PatronMasa13158[[#This Row],[Masa nominal mN                              (g)]]+(tblBD_PatronMasa13158[[#This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tblBD_PatronMasa13158[[#This Row],[Masa nominal mN                              (g)]]+(tblBD_PatronMasa13158[[#This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tblBD_PatronMasa13158[[#This Row],[Masa nominal mN                              (g)]]+(tblBD_PatronMasa13158[[#This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tblBD_PatronMasa13158[[#This Row],[Masa nominal mN                              (g)]]+(tblBD_PatronMasa13158[[#This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tblBD_PatronMasa13158[[#This Row],[Masa nominal mN                              (g)]]+(tblBD_PatronMasa13158[[#This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datos!H141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datos!I141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datos!H145</f>
        <v>19.399999999999999</v>
      </c>
      <c r="J352" s="245">
        <f>(J353-J351)/(I353-I351)*(I352-I351)+J351</f>
        <v>0.11829959514170041</v>
      </c>
      <c r="K352" s="245">
        <f>(K353-K351)/(I353-I351)*(I352-I351)+K351</f>
        <v>0.25457489878542511</v>
      </c>
      <c r="L352" s="242"/>
      <c r="M352" s="243"/>
      <c r="N352" s="32">
        <f>datos!I145</f>
        <v>19.3</v>
      </c>
      <c r="O352" s="245">
        <f>(O353-O351)/(N353-N351)*(N352-N351)+O351</f>
        <v>0.11789473684210527</v>
      </c>
      <c r="P352" s="245">
        <f>(P353-P351)/(N353-N351)*(N352-N351)+P351</f>
        <v>0.2544736842105263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19.518299595141698</v>
      </c>
      <c r="S359" s="246">
        <f>N352+O352</f>
        <v>19.417894736842108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51.051080050825924</v>
      </c>
      <c r="S360" s="246">
        <f>N370+O370</f>
        <v>54.909148665819565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datos!H146</f>
        <v>49.6</v>
      </c>
      <c r="J370" s="249">
        <f>(J371-J369)/(I371-I369)*(I370-I369)+J369</f>
        <v>1.4510800508259205</v>
      </c>
      <c r="K370" s="249">
        <f>(K371-K369)/(I371-I369)*(I370-I369)+K369</f>
        <v>0.6</v>
      </c>
      <c r="L370" s="242"/>
      <c r="M370" s="243"/>
      <c r="N370" s="32">
        <f>datos!I146</f>
        <v>52.5</v>
      </c>
      <c r="O370" s="249">
        <f>(O371-O369)/(N371-N369)*(N370-N369)+O369</f>
        <v>2.4091486658195671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datos!H147*100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datos!I147*100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datos!H145</f>
        <v>19.399999999999999</v>
      </c>
      <c r="J406" s="245">
        <f>(J407-J405)/(I407-I405)*(I406-I405)+J405</f>
        <v>-6.7938931297709892E-2</v>
      </c>
      <c r="K406" s="245">
        <f>(K407-K405)/(I407-I405)*(I406-I405)+K405</f>
        <v>0.25229007633587786</v>
      </c>
      <c r="L406" s="242"/>
      <c r="M406" s="243"/>
      <c r="N406" s="32">
        <f>datos!I145</f>
        <v>19.3</v>
      </c>
      <c r="O406" s="245">
        <f>(O407-O405)/(N407-N405)*(N406-N405)+O405</f>
        <v>-6.2595419847328332E-2</v>
      </c>
      <c r="P406" s="245">
        <f>(P407-P405)/(N407-N405)*(N406-N405)+P405</f>
        <v>0.25267175572519085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19.332061068702288</v>
      </c>
      <c r="S413" s="246">
        <f>N406+O406</f>
        <v>19.237404580152674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51.67197802197802</v>
      </c>
      <c r="S414" s="246">
        <f>N424+O424</f>
        <v>54.492307692307691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datos!H146</f>
        <v>49.6</v>
      </c>
      <c r="J424" s="249">
        <f>(J425-J423)/(I425-I423)*(I424-I423)+J423</f>
        <v>2.0719780219780217</v>
      </c>
      <c r="K424" s="249">
        <f>(K425-K423)/(I425-I423)*(I424-I423)+K423</f>
        <v>1.3</v>
      </c>
      <c r="L424" s="242"/>
      <c r="M424" s="243"/>
      <c r="N424" s="32">
        <f>datos!I146</f>
        <v>52.5</v>
      </c>
      <c r="O424" s="249">
        <f>(O425-O423)/(N425-N423)*(N424-N423)+O423</f>
        <v>1.9923076923076923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datos!H147*100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datos!I147*100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datos!H145</f>
        <v>19.399999999999999</v>
      </c>
      <c r="J459" s="245">
        <f>(J460-J458)/(I460-I458)*(I459-I458)+J458</f>
        <v>-8.2290076335877871E-2</v>
      </c>
      <c r="K459" s="245">
        <f>(K460-K458)/(I460-I458)*(I459-I458)+K458</f>
        <v>0.25885496183206108</v>
      </c>
      <c r="L459" s="242"/>
      <c r="M459" s="243"/>
      <c r="N459" s="32">
        <f>datos!I145</f>
        <v>19.3</v>
      </c>
      <c r="O459" s="245">
        <f>(O460-O458)/(N460-N458)*(N459-N458)+O458</f>
        <v>-8.2671755725190837E-2</v>
      </c>
      <c r="P459" s="245">
        <f>(P460-P458)/(N460-N458)*(N459-N458)+P458</f>
        <v>0.25866412213740458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19.317709923664122</v>
      </c>
      <c r="S466" s="246">
        <f>N459+O459</f>
        <v>19.21732824427481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50.243956043956047</v>
      </c>
      <c r="S467" s="246">
        <f>N477+O477</f>
        <v>52.984615384615381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datos!H146</f>
        <v>49.6</v>
      </c>
      <c r="J477" s="249">
        <f>(J478-J476)/(I478-I476)*(I477-I476)+J476</f>
        <v>0.64395604395604389</v>
      </c>
      <c r="K477" s="249">
        <f>(K478-K476)/(I478-I476)*(I477-I476)+K476</f>
        <v>1.3</v>
      </c>
      <c r="L477" s="242"/>
      <c r="M477" s="243"/>
      <c r="N477" s="32">
        <f>datos!I146</f>
        <v>52.5</v>
      </c>
      <c r="O477" s="249">
        <f>(O478-O476)/(N478-N476)*(N477-N476)+O476</f>
        <v>0.48461538461538467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datos!H147*100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datos!I147*100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datos!H145</f>
        <v>19.399999999999999</v>
      </c>
      <c r="J513" s="245">
        <f>(J514-J512)/(I514-I512)*(I513-I512)+J512</f>
        <v>4.6098081023454002E-2</v>
      </c>
      <c r="K513" s="245">
        <f>(K514-K512)/(I514-I512)*(I513-I512)+K512</f>
        <v>3.8831556503198292E-2</v>
      </c>
      <c r="L513" s="242"/>
      <c r="M513" s="243"/>
      <c r="N513" s="32">
        <f>datos!I145</f>
        <v>19.3</v>
      </c>
      <c r="O513" s="245">
        <f>(O514-O512)/(N514-N512)*(N513-N512)+O512</f>
        <v>3.9275053304904023E-2</v>
      </c>
      <c r="P513" s="245">
        <f>(P514-P512)/(N514-N512)*(N513-N512)+P512</f>
        <v>3.8810234541577823E-2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19.446098081023454</v>
      </c>
      <c r="S520" s="246">
        <f>N513+O513</f>
        <v>19.339275053304906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51.051080050825924</v>
      </c>
      <c r="S521" s="246">
        <f>N531+O531</f>
        <v>54.909148665819565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datos!H146</f>
        <v>49.6</v>
      </c>
      <c r="J531" s="249">
        <f>(J532-J530)/(I532-I530)*(I531-I530)+J530</f>
        <v>1.4510800508259205</v>
      </c>
      <c r="K531" s="249">
        <f>(K532-K530)/(I532-I530)*(I531-I530)+K530</f>
        <v>0.6</v>
      </c>
      <c r="L531" s="242"/>
      <c r="M531" s="243"/>
      <c r="N531" s="32">
        <f>datos!I146</f>
        <v>52.5</v>
      </c>
      <c r="O531" s="249">
        <f>(O532-O530)/(N532-N530)*(N531-N530)+O530</f>
        <v>2.4091486658195671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datos!H147*100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datos!I147*100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9" priority="16">
      <formula>M143&gt;P143</formula>
    </cfRule>
  </conditionalFormatting>
  <conditionalFormatting sqref="N97:N248">
    <cfRule type="cellIs" dxfId="58" priority="1" operator="lessThan">
      <formula>Z97</formula>
    </cfRule>
  </conditionalFormatting>
  <conditionalFormatting sqref="P97:P248">
    <cfRule type="expression" dxfId="57" priority="2">
      <formula>P97&gt;S97</formula>
    </cfRule>
  </conditionalFormatting>
  <hyperlinks>
    <hyperlink ref="BQ44" r:id="rId1" xr:uid="{00000000-0004-0000-09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5371" r:id="rId4"/>
      </mc:Fallback>
    </mc:AlternateContent>
    <mc:AlternateContent xmlns:mc="http://schemas.openxmlformats.org/markup-compatibility/2006">
      <mc:Choice Requires="x14">
        <oleObject progId="Equation.3" shapeId="1537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5372" r:id="rId6"/>
      </mc:Fallback>
    </mc:AlternateContent>
    <mc:AlternateContent xmlns:mc="http://schemas.openxmlformats.org/markup-compatibility/2006">
      <mc:Choice Requires="x14">
        <oleObject progId="Equation.3" shapeId="15374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5374" r:id="rId8"/>
      </mc:Fallback>
    </mc:AlternateContent>
    <mc:AlternateContent xmlns:mc="http://schemas.openxmlformats.org/markup-compatibility/2006">
      <mc:Choice Requires="x14">
        <oleObject progId="Equation.3" shapeId="15375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5375" r:id="rId10"/>
      </mc:Fallback>
    </mc:AlternateContent>
    <mc:AlternateContent xmlns:mc="http://schemas.openxmlformats.org/markup-compatibility/2006">
      <mc:Choice Requires="x14">
        <oleObject progId="Equation.3" shapeId="15376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5376" r:id="rId12"/>
      </mc:Fallback>
    </mc:AlternateContent>
    <mc:AlternateContent xmlns:mc="http://schemas.openxmlformats.org/markup-compatibility/2006">
      <mc:Choice Requires="x14">
        <oleObject progId="Equation.3" shapeId="15377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5377" r:id="rId14"/>
      </mc:Fallback>
    </mc:AlternateContent>
    <mc:AlternateContent xmlns:mc="http://schemas.openxmlformats.org/markup-compatibility/2006">
      <mc:Choice Requires="x14">
        <oleObject progId="Equation.3" shapeId="15378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5378" r:id="rId16"/>
      </mc:Fallback>
    </mc:AlternateContent>
    <mc:AlternateContent xmlns:mc="http://schemas.openxmlformats.org/markup-compatibility/2006">
      <mc:Choice Requires="x14">
        <oleObject progId="Equation.3" shapeId="15379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5379" r:id="rId18"/>
      </mc:Fallback>
    </mc:AlternateContent>
    <mc:AlternateContent xmlns:mc="http://schemas.openxmlformats.org/markup-compatibility/2006">
      <mc:Choice Requires="x14">
        <oleObject progId="Equation.3" shapeId="15382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5382" r:id="rId19"/>
      </mc:Fallback>
    </mc:AlternateContent>
    <mc:AlternateContent xmlns:mc="http://schemas.openxmlformats.org/markup-compatibility/2006">
      <mc:Choice Requires="x14">
        <oleObject progId="Equation.3" shapeId="15383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5383" r:id="rId21"/>
      </mc:Fallback>
    </mc:AlternateContent>
    <mc:AlternateContent xmlns:mc="http://schemas.openxmlformats.org/markup-compatibility/2006">
      <mc:Choice Requires="x14">
        <oleObject progId="Equation.3" shapeId="1540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137160</xdr:rowOff>
              </to>
            </anchor>
          </objectPr>
        </oleObject>
      </mc:Choice>
      <mc:Fallback>
        <oleObject progId="Equation.3" shapeId="15400" r:id="rId23"/>
      </mc:Fallback>
    </mc:AlternateContent>
  </oleObjects>
  <tableParts count="1">
    <tablePart r:id="rId2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U559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datos!G158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datos!C150</f>
        <v>N/A</v>
      </c>
      <c r="J5" s="569" t="str">
        <f>datos!C151</f>
        <v>N/A</v>
      </c>
      <c r="K5" s="569" t="str">
        <f>datos!C152</f>
        <v>N/A</v>
      </c>
      <c r="L5" s="569" t="str">
        <f>datos!C153</f>
        <v>N/A</v>
      </c>
      <c r="M5" s="569" t="str">
        <f>datos!C154</f>
        <v>N/A</v>
      </c>
      <c r="N5" s="569" t="str">
        <f>datos!C155</f>
        <v>N/A</v>
      </c>
      <c r="O5" s="569" t="str">
        <f>datos!C156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datos!C150</f>
        <v>N/A</v>
      </c>
      <c r="J6" s="569" t="str">
        <f>datos!C151</f>
        <v>N/A</v>
      </c>
      <c r="K6" s="569" t="str">
        <f>datos!C152</f>
        <v>N/A</v>
      </c>
      <c r="L6" s="569" t="str">
        <f>datos!C153</f>
        <v>N/A</v>
      </c>
      <c r="M6" s="569" t="str">
        <f>datos!C154</f>
        <v>N/A</v>
      </c>
      <c r="N6" s="569" t="str">
        <f>datos!C155</f>
        <v>N/A</v>
      </c>
      <c r="O6" s="569" t="str">
        <f>datos!C156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19.21732824427481</v>
      </c>
      <c r="AD6" s="192">
        <f>C30</f>
        <v>55.914285714285718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datos!$E$158</f>
        <v>0</v>
      </c>
      <c r="D7" s="118" t="str">
        <f>datos!F158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19.317709923664122</v>
      </c>
      <c r="AD7" s="192">
        <f>C31</f>
        <v>56.575824175824174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19.267519083969468</v>
      </c>
      <c r="AD8" s="366">
        <f>AVERAGE(AD6:AD7)</f>
        <v>56.245054945054946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1.1873536095510924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19.317709923664122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56.575824175824174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19.267519083969468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19.21732824427481</v>
      </c>
      <c r="AZ15" s="368" t="s">
        <v>7</v>
      </c>
      <c r="BA15" s="477">
        <f>AVERAGE(AY14:AY15)</f>
        <v>19.267519083969468</v>
      </c>
      <c r="BB15" s="181"/>
      <c r="BC15" s="175"/>
      <c r="BD15" s="378"/>
      <c r="BE15" s="366" t="s">
        <v>492</v>
      </c>
      <c r="BF15" s="477">
        <f>MIN(AD6:AD7)</f>
        <v>55.914285714285718</v>
      </c>
      <c r="BG15" s="368" t="s">
        <v>42</v>
      </c>
      <c r="BH15" s="478">
        <f>AVERAGE(BF14:BF15)</f>
        <v>56.245054945054946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datos!H158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371.23729165112763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292.41751908396947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2.6121779410124033E-5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371.23729165112763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292.41751908396947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292.41751908396947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85508.005467223644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1.0039710925433247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2235.1057888199166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datos!I158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datos!D157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datos!$C$160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0.13503597299958425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19.21732824427481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datos!C161</f>
        <v>0</v>
      </c>
      <c r="J25" s="78">
        <f>datos!D161</f>
        <v>0</v>
      </c>
      <c r="K25" s="78">
        <f>datos!E161</f>
        <v>0</v>
      </c>
      <c r="L25" s="78">
        <f>datos!F161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19.317709923664122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datos!C162</f>
        <v>0</v>
      </c>
      <c r="J26" s="78">
        <f>datos!D162</f>
        <v>0</v>
      </c>
      <c r="K26" s="78">
        <f>datos!E162</f>
        <v>0</v>
      </c>
      <c r="L26" s="78">
        <f>datos!F162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datos!C163</f>
        <v>0</v>
      </c>
      <c r="J27" s="78">
        <f>datos!D163</f>
        <v>0</v>
      </c>
      <c r="K27" s="78">
        <f>datos!E163</f>
        <v>0</v>
      </c>
      <c r="L27" s="78">
        <f>datos!F163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datos!I158</f>
        <v>NI-MCPPT-06</v>
      </c>
      <c r="D28" s="758"/>
      <c r="E28" s="759"/>
      <c r="I28" s="78">
        <f>datos!C164</f>
        <v>0</v>
      </c>
      <c r="J28" s="78">
        <f>datos!D164</f>
        <v>0</v>
      </c>
      <c r="K28" s="78">
        <f>datos!E164</f>
        <v>0</v>
      </c>
      <c r="L28" s="78">
        <f>datos!F164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0.66450586704503811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6.6450586704503815E-3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55.914285714285718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56.575824175824174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0.99960887098856099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-0.14280582378878032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datos!I158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0.99960887098856099</v>
      </c>
      <c r="AS37" s="368"/>
      <c r="AT37" s="181"/>
      <c r="AU37" s="175"/>
      <c r="AV37" s="378"/>
      <c r="AW37" s="366" t="s">
        <v>288</v>
      </c>
      <c r="AX37" s="405">
        <f>BH29</f>
        <v>6.6450586704503815E-3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2.6121779410124033E-5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292.41751908396947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0.56245054945054951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1.2608438843813874E-2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1.0039710925433247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2235.1057888199166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0.99960887098856099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1.0039710925433247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2235.1057888199166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292.41751908396947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1.2608438843813874E-2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1.2608438843813874E-2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1.5897273007819455E-4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1.1873536095510924E-5</v>
      </c>
      <c r="AT46" s="181"/>
      <c r="AU46" s="175"/>
      <c r="AV46" s="378"/>
      <c r="AW46" s="723">
        <f>SQRT((AS46*AX35)^2+(AS49*AX36)^2+(AS52*AX37)^2+(AX38^2)+(AS57*BR41)^2)</f>
        <v>6.4826313119938984E-4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1.1873536095510924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4.0370022724737142E-3</v>
      </c>
      <c r="AT49" s="181"/>
      <c r="AU49" s="175"/>
      <c r="AV49" s="366">
        <f>AW46*2</f>
        <v>1.2965262623987797E-3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1.1873536095510924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6.4826313119938984E-4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-1.1873536095510924E-2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1.2965262623987797E-3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-0.14280582378878032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tblBD_PatronMasa13159[[#This Row],[Masa nominal mN                              (g)]]+(tblBD_PatronMasa13159[[#This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tblBD_PatronMasa13159[[#This Row],[Masa nominal mN                              (g)]]+(tblBD_PatronMasa13159[[#This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tblBD_PatronMasa13159[[#This Row],[Masa nominal mN                              (g)]]+(tblBD_PatronMasa13159[[#This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tblBD_PatronMasa13159[[#This Row],[Masa nominal mN                              (g)]]+(tblBD_PatronMasa13159[[#This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tblBD_PatronMasa13159[[#This Row],[Masa nominal mN                              (g)]]+(tblBD_PatronMasa13159[[#This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tblBD_PatronMasa13159[[#This Row],[Masa nominal mN                              (g)]]+(tblBD_PatronMasa13159[[#This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tblBD_PatronMasa13159[[#This Row],[Masa nominal mN                              (g)]]+(tblBD_PatronMasa13159[[#This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tblBD_PatronMasa13159[[#This Row],[Masa nominal mN                              (g)]]+(tblBD_PatronMasa13159[[#This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tblBD_PatronMasa13159[[#This Row],[Masa nominal mN                              (g)]]+(tblBD_PatronMasa13159[[#This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tblBD_PatronMasa13159[[#This Row],[Masa nominal mN                              (g)]]+(tblBD_PatronMasa13159[[#This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tblBD_PatronMasa13159[[#This Row],[Masa nominal mN                              (g)]]+(tblBD_PatronMasa13159[[#This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tblBD_PatronMasa13159[[#This Row],[Masa nominal mN                              (g)]]+(tblBD_PatronMasa13159[[#This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tblBD_PatronMasa13159[[#This Row],[Masa nominal mN                              (g)]]+(tblBD_PatronMasa13159[[#This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tblBD_PatronMasa13159[[#This Row],[Masa nominal mN                              (g)]]+(tblBD_PatronMasa13159[[#This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tblBD_PatronMasa13159[[#This Row],[Masa nominal mN                              (g)]]+(tblBD_PatronMasa13159[[#This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tblBD_PatronMasa13159[[#This Row],[Masa nominal mN                              (g)]]+(tblBD_PatronMasa13159[[#This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tblBD_PatronMasa13159[[#This Row],[Masa nominal mN                              (g)]]+(tblBD_PatronMasa13159[[#This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tblBD_PatronMasa13159[[#This Row],[Masa nominal mN                              (g)]]+(tblBD_PatronMasa13159[[#This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tblBD_PatronMasa13159[[#This Row],[Masa nominal mN                              (g)]]+(tblBD_PatronMasa13159[[#This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tblBD_PatronMasa13159[[#This Row],[Masa nominal mN                              (g)]]+(tblBD_PatronMasa13159[[#This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tblBD_PatronMasa13159[[#This Row],[Masa nominal mN                              (g)]]+(tblBD_PatronMasa13159[[#This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tblBD_PatronMasa13159[[#This Row],[Masa nominal mN                              (g)]]+(tblBD_PatronMasa13159[[#This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tblBD_PatronMasa13159[[#This Row],[Masa nominal mN                              (g)]]+(tblBD_PatronMasa13159[[#This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tblBD_PatronMasa13159[[#This Row],[Masa nominal mN                              (g)]]+(tblBD_PatronMasa13159[[#This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tblBD_PatronMasa13159[[#This Row],[Masa nominal mN                              (g)]]+(tblBD_PatronMasa13159[[#This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tblBD_PatronMasa13159[[#This Row],[Masa nominal mN                              (g)]]+(tblBD_PatronMasa13159[[#This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tblBD_PatronMasa13159[[#This Row],[Masa nominal mN                              (g)]]+(tblBD_PatronMasa13159[[#This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tblBD_PatronMasa13159[[#This Row],[Masa nominal mN                              (g)]]+(tblBD_PatronMasa13159[[#This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tblBD_PatronMasa13159[[#This Row],[Masa nominal mN                              (g)]]+(tblBD_PatronMasa13159[[#This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tblBD_PatronMasa13159[[#This Row],[Masa nominal mN                              (g)]]+(tblBD_PatronMasa13159[[#This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tblBD_PatronMasa13159[[#This Row],[Masa nominal mN                              (g)]]+(tblBD_PatronMasa13159[[#This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tblBD_PatronMasa13159[[#This Row],[Masa nominal mN                              (g)]]+(tblBD_PatronMasa13159[[#This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tblBD_PatronMasa13159[[#This Row],[Masa nominal mN                              (g)]]+(tblBD_PatronMasa13159[[#This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tblBD_PatronMasa13159[[#This Row],[Masa nominal mN                              (g)]]+(tblBD_PatronMasa13159[[#This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tblBD_PatronMasa13159[[#This Row],[Masa nominal mN                              (g)]]+(tblBD_PatronMasa13159[[#This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tblBD_PatronMasa13159[[#This Row],[Masa nominal mN                              (g)]]+(tblBD_PatronMasa13159[[#This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tblBD_PatronMasa13159[[#This Row],[Masa nominal mN                              (g)]]+(tblBD_PatronMasa13159[[#This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tblBD_PatronMasa13159[[#This Row],[Masa nominal mN                              (g)]]+(tblBD_PatronMasa13159[[#This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tblBD_PatronMasa13159[[#This Row],[Masa nominal mN                              (g)]]+(tblBD_PatronMasa13159[[#This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tblBD_PatronMasa13159[[#This Row],[Masa nominal mN                              (g)]]+(tblBD_PatronMasa13159[[#This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tblBD_PatronMasa13159[[#This Row],[Masa nominal mN                              (g)]]+(tblBD_PatronMasa13159[[#This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tblBD_PatronMasa13159[[#This Row],[Masa nominal mN                              (g)]]+(tblBD_PatronMasa13159[[#This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tblBD_PatronMasa13159[[#This Row],[Masa nominal mN                              (g)]]+(tblBD_PatronMasa13159[[#This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tblBD_PatronMasa13159[[#This Row],[Masa nominal mN                              (g)]]+(tblBD_PatronMasa13159[[#This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tblBD_PatronMasa13159[[#This Row],[Masa nominal mN                              (g)]]+(tblBD_PatronMasa13159[[#This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tblBD_PatronMasa13159[[#This Row],[Masa nominal mN                              (g)]]+(tblBD_PatronMasa13159[[#This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tblBD_PatronMasa13159[[#This Row],[Masa nominal mN                              (g)]]+(tblBD_PatronMasa13159[[#This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tblBD_PatronMasa13159[[#This Row],[Masa nominal mN                              (g)]]+(tblBD_PatronMasa13159[[#This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tblBD_PatronMasa13159[[#This Row],[Masa nominal mN                              (g)]]+(tblBD_PatronMasa13159[[#This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tblBD_PatronMasa13159[[#This Row],[Masa nominal mN                              (g)]]+(tblBD_PatronMasa13159[[#This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tblBD_PatronMasa13159[[#This Row],[Masa nominal mN                              (g)]]+(tblBD_PatronMasa13159[[#This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tblBD_PatronMasa13159[[#This Row],[Masa nominal mN                              (g)]]+(tblBD_PatronMasa13159[[#This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tblBD_PatronMasa13159[[#This Row],[Masa nominal mN                              (g)]]+(tblBD_PatronMasa13159[[#This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tblBD_PatronMasa13159[[#This Row],[Masa nominal mN                              (g)]]+(tblBD_PatronMasa13159[[#This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tblBD_PatronMasa13159[[#This Row],[Masa nominal mN                              (g)]]+(tblBD_PatronMasa13159[[#This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tblBD_PatronMasa13159[[#This Row],[Masa nominal mN                              (g)]]+(tblBD_PatronMasa13159[[#This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datos!H158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datos!I158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datos!$H$162</f>
        <v>19.3</v>
      </c>
      <c r="J352" s="245">
        <f>(J353-J351)/(I353-I351)*(I352-I351)+J351</f>
        <v>0.11789473684210527</v>
      </c>
      <c r="K352" s="245">
        <f>(K353-K351)/(I353-I351)*(I352-I351)+K351</f>
        <v>0.2544736842105263</v>
      </c>
      <c r="L352" s="242"/>
      <c r="M352" s="243"/>
      <c r="N352" s="32">
        <f>datos!$I$162</f>
        <v>19.399999999999999</v>
      </c>
      <c r="O352" s="245">
        <f>(O353-O351)/(N353-N351)*(N352-N351)+O351</f>
        <v>0.11829959514170041</v>
      </c>
      <c r="P352" s="245">
        <f>(P353-P351)/(N353-N351)*(N352-N351)+P351</f>
        <v>0.25457489878542511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19.417894736842108</v>
      </c>
      <c r="S359" s="246">
        <f>N352+O352</f>
        <v>19.518299595141698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59.033290978398988</v>
      </c>
      <c r="S360" s="246">
        <f>N370+O370</f>
        <v>59.964548919949166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datos!$H$163</f>
        <v>55.6</v>
      </c>
      <c r="J370" s="249">
        <f>(J371-J369)/(I371-I369)*(I370-I369)+J369</f>
        <v>3.4332909783989836</v>
      </c>
      <c r="K370" s="249">
        <f>(K371-K369)/(I371-I369)*(I370-I369)+K369</f>
        <v>0.6</v>
      </c>
      <c r="L370" s="242"/>
      <c r="M370" s="243"/>
      <c r="N370" s="32">
        <f>datos!$I$163</f>
        <v>56.3</v>
      </c>
      <c r="O370" s="249">
        <f>(O371-O369)/(N371-N369)*(N370-N369)+O369</f>
        <v>3.6645489199491728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datos!$H$164*100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datos!$I$164*100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datos!$H$162</f>
        <v>19.3</v>
      </c>
      <c r="J406" s="245">
        <f>(J407-J405)/(I407-I405)*(I406-I405)+J405</f>
        <v>-6.2595419847328332E-2</v>
      </c>
      <c r="K406" s="245">
        <f>(K407-K405)/(I407-I405)*(I406-I405)+K405</f>
        <v>0.25267175572519085</v>
      </c>
      <c r="L406" s="242"/>
      <c r="M406" s="243"/>
      <c r="N406" s="32">
        <f>datos!$I$162</f>
        <v>19.399999999999999</v>
      </c>
      <c r="O406" s="245">
        <f>(O407-O405)/(N407-N405)*(N406-N405)+O405</f>
        <v>-6.7938931297709892E-2</v>
      </c>
      <c r="P406" s="245">
        <f>(P407-P405)/(N407-N405)*(N406-N405)+P405</f>
        <v>0.25229007633587786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19.237404580152674</v>
      </c>
      <c r="S413" s="246">
        <f>N406+O406</f>
        <v>19.332061068702288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57.50714285714286</v>
      </c>
      <c r="S414" s="246">
        <f>N424+O424</f>
        <v>58.187912087912082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datos!$H$163</f>
        <v>55.6</v>
      </c>
      <c r="J424" s="249">
        <f>(J425-J423)/(I425-I423)*(I424-I423)+J423</f>
        <v>1.907142857142857</v>
      </c>
      <c r="K424" s="249">
        <f>(K425-K423)/(I425-I423)*(I424-I423)+K423</f>
        <v>1.3</v>
      </c>
      <c r="L424" s="242"/>
      <c r="M424" s="243"/>
      <c r="N424" s="32">
        <f>datos!$I$163</f>
        <v>56.3</v>
      </c>
      <c r="O424" s="249">
        <f>(O425-O423)/(N425-N423)*(N424-N423)+O423</f>
        <v>1.8879120879120879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datos!$H$164*100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datos!$I$164*100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datos!$H$162</f>
        <v>19.3</v>
      </c>
      <c r="J459" s="245">
        <f>(J460-J458)/(I460-I458)*(I459-I458)+J458</f>
        <v>-8.2671755725190837E-2</v>
      </c>
      <c r="K459" s="245">
        <f>(K460-K458)/(I460-I458)*(I459-I458)+K458</f>
        <v>0.25866412213740458</v>
      </c>
      <c r="L459" s="242"/>
      <c r="M459" s="243"/>
      <c r="N459" s="32">
        <f>datos!$I$162</f>
        <v>19.399999999999999</v>
      </c>
      <c r="O459" s="245">
        <f>(O460-O458)/(N460-N458)*(N459-N458)+O458</f>
        <v>-8.2290076335877871E-2</v>
      </c>
      <c r="P459" s="245">
        <f>(P460-P458)/(N460-N458)*(N459-N458)+P458</f>
        <v>0.25885496183206108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19.21732824427481</v>
      </c>
      <c r="S466" s="246">
        <f>N459+O459</f>
        <v>19.317709923664122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55.914285714285718</v>
      </c>
      <c r="S467" s="246">
        <f>N477+O477</f>
        <v>56.575824175824174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datos!$H$163</f>
        <v>55.6</v>
      </c>
      <c r="J477" s="249">
        <f>(J478-J476)/(I478-I476)*(I477-I476)+J476</f>
        <v>0.31428571428571428</v>
      </c>
      <c r="K477" s="249">
        <f>(K478-K476)/(I478-I476)*(I477-I476)+K476</f>
        <v>1.3</v>
      </c>
      <c r="L477" s="242"/>
      <c r="M477" s="243"/>
      <c r="N477" s="32">
        <f>datos!$I$163</f>
        <v>56.3</v>
      </c>
      <c r="O477" s="249">
        <f>(O478-O476)/(N478-N476)*(N477-N476)+O476</f>
        <v>0.27582417582417607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datos!$H$164*100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datos!$I$164*100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datos!$H$162</f>
        <v>19.3</v>
      </c>
      <c r="J513" s="245">
        <f>(J514-J512)/(I514-I512)*(I513-I512)+J512</f>
        <v>3.9275053304904023E-2</v>
      </c>
      <c r="K513" s="245">
        <f>(K514-K512)/(I514-I512)*(I513-I512)+K512</f>
        <v>3.8810234541577823E-2</v>
      </c>
      <c r="L513" s="242"/>
      <c r="M513" s="243"/>
      <c r="N513" s="32">
        <f>datos!$I$162</f>
        <v>19.399999999999999</v>
      </c>
      <c r="O513" s="245">
        <f>(O514-O512)/(N514-N512)*(N513-N512)+O512</f>
        <v>4.6098081023454002E-2</v>
      </c>
      <c r="P513" s="245">
        <f>(P514-P512)/(N514-N512)*(N513-N512)+P512</f>
        <v>3.8831556503198292E-2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19.339275053304906</v>
      </c>
      <c r="S520" s="246">
        <f>N513+O513</f>
        <v>19.446098081023454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59.033290978398988</v>
      </c>
      <c r="S521" s="246">
        <f>N531+O531</f>
        <v>59.964548919949166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datos!$H$163</f>
        <v>55.6</v>
      </c>
      <c r="J531" s="249">
        <f>(J532-J530)/(I532-I530)*(I531-I530)+J530</f>
        <v>3.4332909783989836</v>
      </c>
      <c r="K531" s="249">
        <f>(K532-K530)/(I532-I530)*(I531-I530)+K530</f>
        <v>0.6</v>
      </c>
      <c r="L531" s="242"/>
      <c r="M531" s="243"/>
      <c r="N531" s="32">
        <f>datos!$I$163</f>
        <v>56.3</v>
      </c>
      <c r="O531" s="249">
        <f>(O532-O530)/(N532-N530)*(N531-N530)+O530</f>
        <v>3.6645489199491728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datos!$H$164*100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datos!$I$164*100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6" priority="16">
      <formula>M143&gt;P143</formula>
    </cfRule>
  </conditionalFormatting>
  <conditionalFormatting sqref="N97:N248">
    <cfRule type="cellIs" dxfId="55" priority="1" operator="lessThan">
      <formula>Z97</formula>
    </cfRule>
  </conditionalFormatting>
  <conditionalFormatting sqref="P97:P248">
    <cfRule type="expression" dxfId="54" priority="2">
      <formula>P97&gt;S97</formula>
    </cfRule>
  </conditionalFormatting>
  <hyperlinks>
    <hyperlink ref="BQ44" r:id="rId1" xr:uid="{00000000-0004-0000-0A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39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6394" r:id="rId4"/>
      </mc:Fallback>
    </mc:AlternateContent>
    <mc:AlternateContent xmlns:mc="http://schemas.openxmlformats.org/markup-compatibility/2006">
      <mc:Choice Requires="x14">
        <oleObject progId="Equation.3" shapeId="1639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6395" r:id="rId6"/>
      </mc:Fallback>
    </mc:AlternateContent>
    <mc:AlternateContent xmlns:mc="http://schemas.openxmlformats.org/markup-compatibility/2006">
      <mc:Choice Requires="x14">
        <oleObject progId="Equation.3" shapeId="1639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6397" r:id="rId8"/>
      </mc:Fallback>
    </mc:AlternateContent>
    <mc:AlternateContent xmlns:mc="http://schemas.openxmlformats.org/markup-compatibility/2006">
      <mc:Choice Requires="x14">
        <oleObject progId="Equation.3" shapeId="1639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6398" r:id="rId10"/>
      </mc:Fallback>
    </mc:AlternateContent>
    <mc:AlternateContent xmlns:mc="http://schemas.openxmlformats.org/markup-compatibility/2006">
      <mc:Choice Requires="x14">
        <oleObject progId="Equation.3" shapeId="1639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6399" r:id="rId12"/>
      </mc:Fallback>
    </mc:AlternateContent>
    <mc:AlternateContent xmlns:mc="http://schemas.openxmlformats.org/markup-compatibility/2006">
      <mc:Choice Requires="x14">
        <oleObject progId="Equation.3" shapeId="1640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6400" r:id="rId14"/>
      </mc:Fallback>
    </mc:AlternateContent>
    <mc:AlternateContent xmlns:mc="http://schemas.openxmlformats.org/markup-compatibility/2006">
      <mc:Choice Requires="x14">
        <oleObject progId="Equation.3" shapeId="1640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6401" r:id="rId16"/>
      </mc:Fallback>
    </mc:AlternateContent>
    <mc:AlternateContent xmlns:mc="http://schemas.openxmlformats.org/markup-compatibility/2006">
      <mc:Choice Requires="x14">
        <oleObject progId="Equation.3" shapeId="1640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6402" r:id="rId18"/>
      </mc:Fallback>
    </mc:AlternateContent>
    <mc:AlternateContent xmlns:mc="http://schemas.openxmlformats.org/markup-compatibility/2006">
      <mc:Choice Requires="x14">
        <oleObject progId="Equation.3" shapeId="1640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6405" r:id="rId19"/>
      </mc:Fallback>
    </mc:AlternateContent>
    <mc:AlternateContent xmlns:mc="http://schemas.openxmlformats.org/markup-compatibility/2006">
      <mc:Choice Requires="x14">
        <oleObject progId="Equation.3" shapeId="1640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6406" r:id="rId21"/>
      </mc:Fallback>
    </mc:AlternateContent>
    <mc:AlternateContent xmlns:mc="http://schemas.openxmlformats.org/markup-compatibility/2006">
      <mc:Choice Requires="x14">
        <oleObject progId="Equation.3" shapeId="16423" r:id="rId23">
          <objectPr defaultSize="0" autoPict="0" r:id="rId24">
            <anchor moveWithCells="1" sizeWithCells="1">
              <from>
                <xdr:col>7</xdr:col>
                <xdr:colOff>137160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6423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datos!G175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datos!C167</f>
        <v>N/A</v>
      </c>
      <c r="J5" s="569" t="str">
        <f>datos!C168</f>
        <v>N/A</v>
      </c>
      <c r="K5" s="569" t="str">
        <f>datos!C169</f>
        <v>N/A</v>
      </c>
      <c r="L5" s="569" t="str">
        <f>datos!C170</f>
        <v>N/A</v>
      </c>
      <c r="M5" s="569" t="str">
        <f>datos!C171</f>
        <v>N/A</v>
      </c>
      <c r="N5" s="569" t="str">
        <f>datos!C172</f>
        <v>N/A</v>
      </c>
      <c r="O5" s="569" t="str">
        <f>datos!C173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datos!C167</f>
        <v>N/A</v>
      </c>
      <c r="J6" s="569" t="str">
        <f>datos!C168</f>
        <v>N/A</v>
      </c>
      <c r="K6" s="569" t="str">
        <f>datos!C169</f>
        <v>N/A</v>
      </c>
      <c r="L6" s="569" t="str">
        <f>datos!C170</f>
        <v>N/A</v>
      </c>
      <c r="M6" s="569" t="str">
        <f>datos!C171</f>
        <v>N/A</v>
      </c>
      <c r="N6" s="569" t="str">
        <f>datos!C172</f>
        <v>N/A</v>
      </c>
      <c r="O6" s="569" t="str">
        <f>datos!C173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20.488800000000001</v>
      </c>
      <c r="AD6" s="192">
        <f>C30</f>
        <v>64.900787401574803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datos!E175</f>
        <v>0</v>
      </c>
      <c r="D7" s="118" t="str">
        <f>datos!F175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100201.9</v>
      </c>
      <c r="AC7" s="192">
        <f>C26</f>
        <v>20.583600000000001</v>
      </c>
      <c r="AD7" s="192">
        <f>C31</f>
        <v>64.900787401574803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100151.9</v>
      </c>
      <c r="AC8" s="366">
        <f>AVERAGE(AC6:AC7)</f>
        <v>20.536200000000001</v>
      </c>
      <c r="AD8" s="366">
        <f>AVERAGE(AD6:AD7)</f>
        <v>64.900787401574803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1.1814088364633155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100201.9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20.583600000000001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64.900787401574803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20.536200000000001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100151.9</v>
      </c>
      <c r="AU15" s="181"/>
      <c r="AV15" s="175"/>
      <c r="AW15" s="378"/>
      <c r="AX15" s="366" t="s">
        <v>491</v>
      </c>
      <c r="AY15" s="477">
        <f>MIN(AC6:AC7)</f>
        <v>20.488800000000001</v>
      </c>
      <c r="AZ15" s="368" t="s">
        <v>7</v>
      </c>
      <c r="BA15" s="477">
        <f>AVERAGE(AY14:AY15)</f>
        <v>20.536200000000001</v>
      </c>
      <c r="BB15" s="181"/>
      <c r="BC15" s="175"/>
      <c r="BD15" s="378"/>
      <c r="BE15" s="366" t="s">
        <v>492</v>
      </c>
      <c r="BF15" s="477">
        <f>MIN(AD6:AD7)</f>
        <v>64.900787401574803</v>
      </c>
      <c r="BG15" s="368" t="s">
        <v>42</v>
      </c>
      <c r="BH15" s="478">
        <f>AVERAGE(BF14:BF15)</f>
        <v>64.900787401574803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datos!H175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421.73551044000004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293.68619999999999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2.599099440219294E-5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100151.9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10030403073.609999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421.73551044000004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293.68619999999999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293.68619999999999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86251.584070439989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1.0040009415458464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2418.0011588226107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datos!I175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datos!D174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datos!C177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20.488800000000001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datos!C178</f>
        <v>0</v>
      </c>
      <c r="J25" s="78">
        <f>datos!D178</f>
        <v>0</v>
      </c>
      <c r="K25" s="78">
        <f>datos!E178</f>
        <v>0</v>
      </c>
      <c r="L25" s="78">
        <f>datos!F178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20.412414523193153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20.583600000000001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datos!C179</f>
        <v>0</v>
      </c>
      <c r="J26" s="78">
        <f>datos!D179</f>
        <v>0</v>
      </c>
      <c r="K26" s="78">
        <f>datos!E179</f>
        <v>0</v>
      </c>
      <c r="L26" s="78">
        <f>datos!F179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datos!C180</f>
        <v>0</v>
      </c>
      <c r="J27" s="78">
        <f>datos!D180</f>
        <v>0</v>
      </c>
      <c r="K27" s="78">
        <f>datos!E180</f>
        <v>0</v>
      </c>
      <c r="L27" s="78">
        <f>datos!F180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datos!I175</f>
        <v>NI-MCPPT-06</v>
      </c>
      <c r="D28" s="758"/>
      <c r="E28" s="759"/>
      <c r="I28" s="78">
        <f>datos!C181</f>
        <v>0</v>
      </c>
      <c r="J28" s="78">
        <f>datos!D181</f>
        <v>0</v>
      </c>
      <c r="K28" s="78">
        <f>datos!E181</f>
        <v>0</v>
      </c>
      <c r="L28" s="78">
        <f>datos!F181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35.355616244099039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64.900787401574803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64.900787401574803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0.99961118020432993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-0.14209083188476082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datos!I175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100151.9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35.355616244099039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100201.9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0.99961118020432993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2.599099440219294E-5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293.68619999999999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0.649007874015748</v>
      </c>
      <c r="Z40" s="289"/>
      <c r="AA40" s="289"/>
      <c r="AB40" s="181"/>
      <c r="AC40" s="175"/>
      <c r="AD40" s="378"/>
      <c r="AE40" s="366" t="s">
        <v>235</v>
      </c>
      <c r="AF40" s="366">
        <f>AB8</f>
        <v>100151.9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1.5731907993662444E-2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1.0040009415458464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2418.0011588226107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0.99961118020432993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1.0040009415458464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100151.9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2418.0011588226107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293.68619999999999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1.5731907993662444E-2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1.5731907993662444E-2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2.4749292912106029E-4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1.1814088364633157E-5</v>
      </c>
      <c r="AT46" s="181"/>
      <c r="AU46" s="175"/>
      <c r="AV46" s="378"/>
      <c r="AW46" s="723">
        <f>SQRT((AS46*AX35)^2+(AS49*AX36)^2+(AS52*AX37)^2+(AX38^2)+(AS57*BR41)^2)</f>
        <v>9.5502725589085148E-4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1.1814088364633155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4.0167900439752723E-3</v>
      </c>
      <c r="AT49" s="181"/>
      <c r="AU49" s="175"/>
      <c r="AV49" s="366">
        <f>AW46*2</f>
        <v>1.910054511781703E-3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1.1814088364633155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9.5502725589085148E-4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-1.1814088364633156E-2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1.910054511781703E-3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-0.14209083188476082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tblBD_PatronMasa131510[[#This Row],[Masa nominal mN                              (g)]]+(tblBD_PatronMasa131510[[#This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tblBD_PatronMasa131510[[#This Row],[Masa nominal mN                              (g)]]+(tblBD_PatronMasa131510[[#This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tblBD_PatronMasa131510[[#This Row],[Masa nominal mN                              (g)]]+(tblBD_PatronMasa131510[[#This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tblBD_PatronMasa131510[[#This Row],[Masa nominal mN                              (g)]]+(tblBD_PatronMasa131510[[#This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tblBD_PatronMasa131510[[#This Row],[Masa nominal mN                              (g)]]+(tblBD_PatronMasa131510[[#This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tblBD_PatronMasa131510[[#This Row],[Masa nominal mN                              (g)]]+(tblBD_PatronMasa131510[[#This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tblBD_PatronMasa131510[[#This Row],[Masa nominal mN                              (g)]]+(tblBD_PatronMasa131510[[#This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tblBD_PatronMasa131510[[#This Row],[Masa nominal mN                              (g)]]+(tblBD_PatronMasa131510[[#This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tblBD_PatronMasa131510[[#This Row],[Masa nominal mN                              (g)]]+(tblBD_PatronMasa131510[[#This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tblBD_PatronMasa131510[[#This Row],[Masa nominal mN                              (g)]]+(tblBD_PatronMasa131510[[#This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tblBD_PatronMasa131510[[#This Row],[Masa nominal mN                              (g)]]+(tblBD_PatronMasa131510[[#This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tblBD_PatronMasa131510[[#This Row],[Masa nominal mN                              (g)]]+(tblBD_PatronMasa131510[[#This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tblBD_PatronMasa131510[[#This Row],[Masa nominal mN                              (g)]]+(tblBD_PatronMasa131510[[#This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tblBD_PatronMasa131510[[#This Row],[Masa nominal mN                              (g)]]+(tblBD_PatronMasa131510[[#This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tblBD_PatronMasa131510[[#This Row],[Masa nominal mN                              (g)]]+(tblBD_PatronMasa131510[[#This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tblBD_PatronMasa131510[[#This Row],[Masa nominal mN                              (g)]]+(tblBD_PatronMasa131510[[#This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tblBD_PatronMasa131510[[#This Row],[Masa nominal mN                              (g)]]+(tblBD_PatronMasa131510[[#This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tblBD_PatronMasa131510[[#This Row],[Masa nominal mN                              (g)]]+(tblBD_PatronMasa131510[[#This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tblBD_PatronMasa131510[[#This Row],[Masa nominal mN                              (g)]]+(tblBD_PatronMasa131510[[#This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tblBD_PatronMasa131510[[#This Row],[Masa nominal mN                              (g)]]+(tblBD_PatronMasa131510[[#This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tblBD_PatronMasa131510[[#This Row],[Masa nominal mN                              (g)]]+(tblBD_PatronMasa131510[[#This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tblBD_PatronMasa131510[[#This Row],[Masa nominal mN                              (g)]]+(tblBD_PatronMasa131510[[#This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tblBD_PatronMasa131510[[#This Row],[Masa nominal mN                              (g)]]+(tblBD_PatronMasa131510[[#This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tblBD_PatronMasa131510[[#This Row],[Masa nominal mN                              (g)]]+(tblBD_PatronMasa131510[[#This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tblBD_PatronMasa131510[[#This Row],[Masa nominal mN                              (g)]]+(tblBD_PatronMasa131510[[#This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tblBD_PatronMasa131510[[#This Row],[Masa nominal mN                              (g)]]+(tblBD_PatronMasa131510[[#This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tblBD_PatronMasa131510[[#This Row],[Masa nominal mN                              (g)]]+(tblBD_PatronMasa131510[[#This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tblBD_PatronMasa131510[[#This Row],[Masa nominal mN                              (g)]]+(tblBD_PatronMasa131510[[#This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tblBD_PatronMasa131510[[#This Row],[Masa nominal mN                              (g)]]+(tblBD_PatronMasa131510[[#This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tblBD_PatronMasa131510[[#This Row],[Masa nominal mN                              (g)]]+(tblBD_PatronMasa131510[[#This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tblBD_PatronMasa131510[[#This Row],[Masa nominal mN                              (g)]]+(tblBD_PatronMasa131510[[#This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tblBD_PatronMasa131510[[#This Row],[Masa nominal mN                              (g)]]+(tblBD_PatronMasa131510[[#This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tblBD_PatronMasa131510[[#This Row],[Masa nominal mN                              (g)]]+(tblBD_PatronMasa131510[[#This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tblBD_PatronMasa131510[[#This Row],[Masa nominal mN                              (g)]]+(tblBD_PatronMasa131510[[#This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tblBD_PatronMasa131510[[#This Row],[Masa nominal mN                              (g)]]+(tblBD_PatronMasa131510[[#This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tblBD_PatronMasa131510[[#This Row],[Masa nominal mN                              (g)]]+(tblBD_PatronMasa131510[[#This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tblBD_PatronMasa131510[[#This Row],[Masa nominal mN                              (g)]]+(tblBD_PatronMasa131510[[#This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tblBD_PatronMasa131510[[#This Row],[Masa nominal mN                              (g)]]+(tblBD_PatronMasa131510[[#This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tblBD_PatronMasa131510[[#This Row],[Masa nominal mN                              (g)]]+(tblBD_PatronMasa131510[[#This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tblBD_PatronMasa131510[[#This Row],[Masa nominal mN                              (g)]]+(tblBD_PatronMasa131510[[#This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tblBD_PatronMasa131510[[#This Row],[Masa nominal mN                              (g)]]+(tblBD_PatronMasa131510[[#This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tblBD_PatronMasa131510[[#This Row],[Masa nominal mN                              (g)]]+(tblBD_PatronMasa131510[[#This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tblBD_PatronMasa131510[[#This Row],[Masa nominal mN                              (g)]]+(tblBD_PatronMasa131510[[#This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tblBD_PatronMasa131510[[#This Row],[Masa nominal mN                              (g)]]+(tblBD_PatronMasa131510[[#This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tblBD_PatronMasa131510[[#This Row],[Masa nominal mN                              (g)]]+(tblBD_PatronMasa131510[[#This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tblBD_PatronMasa131510[[#This Row],[Masa nominal mN                              (g)]]+(tblBD_PatronMasa131510[[#This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tblBD_PatronMasa131510[[#This Row],[Masa nominal mN                              (g)]]+(tblBD_PatronMasa131510[[#This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tblBD_PatronMasa131510[[#This Row],[Masa nominal mN                              (g)]]+(tblBD_PatronMasa131510[[#This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tblBD_PatronMasa131510[[#This Row],[Masa nominal mN                              (g)]]+(tblBD_PatronMasa131510[[#This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tblBD_PatronMasa131510[[#This Row],[Masa nominal mN                              (g)]]+(tblBD_PatronMasa131510[[#This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tblBD_PatronMasa131510[[#This Row],[Masa nominal mN                              (g)]]+(tblBD_PatronMasa131510[[#This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tblBD_PatronMasa131510[[#This Row],[Masa nominal mN                              (g)]]+(tblBD_PatronMasa131510[[#This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tblBD_PatronMasa131510[[#This Row],[Masa nominal mN                              (g)]]+(tblBD_PatronMasa131510[[#This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tblBD_PatronMasa131510[[#This Row],[Masa nominal mN                              (g)]]+(tblBD_PatronMasa131510[[#This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tblBD_PatronMasa131510[[#This Row],[Masa nominal mN                              (g)]]+(tblBD_PatronMasa131510[[#This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tblBD_PatronMasa131510[[#This Row],[Masa nominal mN                              (g)]]+(tblBD_PatronMasa131510[[#This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datos!H175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datos!I175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datos!H179</f>
        <v>20.6</v>
      </c>
      <c r="J352" s="245">
        <f>(J353-J351)/(I353-I351)*(I352-I351)+J351</f>
        <v>0.12315789473684211</v>
      </c>
      <c r="K352" s="245">
        <f>(K353-K351)/(I353-I351)*(I352-I351)+K351</f>
        <v>0.25578947368421051</v>
      </c>
      <c r="L352" s="242"/>
      <c r="M352" s="243"/>
      <c r="N352" s="32">
        <f>datos!I179</f>
        <v>20.7</v>
      </c>
      <c r="O352" s="245">
        <f>(O353-O351)/(N353-N351)*(N352-N351)+O351</f>
        <v>0.12356275303643724</v>
      </c>
      <c r="P352" s="245">
        <f>(P353-P351)/(N353-N351)*(N352-N351)+P351</f>
        <v>0.25589068825910932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20.723157894736843</v>
      </c>
      <c r="S359" s="246">
        <f>N352+O352</f>
        <v>20.823562753036438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68.807120743034048</v>
      </c>
      <c r="S360" s="246">
        <f>N370+O370</f>
        <v>68.807120743034048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100199.1712624085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datos!H180</f>
        <v>64.599999999999994</v>
      </c>
      <c r="J370" s="249">
        <f>(J371-J369)/(I371-I369)*(I370-I369)+J369</f>
        <v>4.2071207430340554</v>
      </c>
      <c r="K370" s="249">
        <f>(K371-K369)/(I371-I369)*(I370-I369)+K369</f>
        <v>0.6</v>
      </c>
      <c r="L370" s="242"/>
      <c r="M370" s="243"/>
      <c r="N370" s="32">
        <f>datos!I180</f>
        <v>64.599999999999994</v>
      </c>
      <c r="O370" s="249">
        <f>(O371-O369)/(N371-N369)*(N370-N369)+O369</f>
        <v>4.2071207430340554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datos!H181*100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datos!I181*100</f>
        <v>100200</v>
      </c>
      <c r="O385" s="252">
        <f>(O386-O384)/(N386-N384)*(N385-N384)+O384</f>
        <v>-0.82873759149704207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datos!H179</f>
        <v>20.6</v>
      </c>
      <c r="J406" s="245">
        <f>(J407-J405)/(I407-I405)*(I406-I405)+J405</f>
        <v>-0.1024</v>
      </c>
      <c r="K406" s="245">
        <f>(K407-K405)/(I407-I405)*(I406-I405)+K405</f>
        <v>0.25119999999999998</v>
      </c>
      <c r="L406" s="242"/>
      <c r="M406" s="243"/>
      <c r="N406" s="32">
        <f>datos!I179</f>
        <v>20.7</v>
      </c>
      <c r="O406" s="245">
        <f>(O407-O405)/(N407-N405)*(N406-N405)+O405</f>
        <v>-0.1028</v>
      </c>
      <c r="P406" s="245">
        <f>(P407-P405)/(N407-N405)*(N406-N405)+P405</f>
        <v>0.25140000000000001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20.497600000000002</v>
      </c>
      <c r="S413" s="246">
        <f>N406+O406</f>
        <v>20.597200000000001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66.159055118110231</v>
      </c>
      <c r="S414" s="246">
        <f>N424+O424</f>
        <v>66.159055118110231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100199.1712624085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datos!H180</f>
        <v>64.599999999999994</v>
      </c>
      <c r="J424" s="249">
        <f>(J425-J423)/(I425-I423)*(I424-I423)+J423</f>
        <v>1.5590551181102366</v>
      </c>
      <c r="K424" s="249">
        <f>(K425-K423)/(I425-I423)*(I424-I423)+K423</f>
        <v>1.3</v>
      </c>
      <c r="L424" s="242"/>
      <c r="M424" s="243"/>
      <c r="N424" s="32">
        <f>datos!I180</f>
        <v>64.599999999999994</v>
      </c>
      <c r="O424" s="249">
        <f>(O425-O423)/(N425-N423)*(N424-N423)+O423</f>
        <v>1.5590551181102366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datos!H181*100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datos!I181*100</f>
        <v>100200</v>
      </c>
      <c r="O439" s="441">
        <f>(O440-O438)/(N440-N438)*(N439-N438)+O438</f>
        <v>-0.82873759149704207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datos!H179</f>
        <v>20.6</v>
      </c>
      <c r="J459" s="245">
        <f>(J460-J458)/(I460-I458)*(I459-I458)+J458</f>
        <v>-0.11120000000000008</v>
      </c>
      <c r="K459" s="245">
        <f>(K460-K458)/(I460-I458)*(I459-I458)+K458</f>
        <v>0.27920000000000006</v>
      </c>
      <c r="L459" s="242"/>
      <c r="M459" s="243"/>
      <c r="N459" s="32">
        <f>datos!I179</f>
        <v>20.7</v>
      </c>
      <c r="O459" s="245">
        <f>(O460-O458)/(N460-N458)*(N459-N458)+O458</f>
        <v>-0.11639999999999998</v>
      </c>
      <c r="P459" s="245">
        <f>(P460-P458)/(N460-N458)*(N459-N458)+P458</f>
        <v>0.28239999999999998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20.488800000000001</v>
      </c>
      <c r="S466" s="246">
        <f>N459+O459</f>
        <v>20.583600000000001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64.900787401574803</v>
      </c>
      <c r="S467" s="246">
        <f>N477+O477</f>
        <v>64.900787401574803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100201.9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datos!H180</f>
        <v>64.599999999999994</v>
      </c>
      <c r="J477" s="249">
        <f>(J478-J476)/(I478-I476)*(I477-I476)+J476</f>
        <v>0.30078740157480288</v>
      </c>
      <c r="K477" s="249">
        <f>(K478-K476)/(I478-I476)*(I477-I476)+K476</f>
        <v>1.3</v>
      </c>
      <c r="L477" s="242"/>
      <c r="M477" s="243"/>
      <c r="N477" s="32">
        <f>datos!I180</f>
        <v>64.599999999999994</v>
      </c>
      <c r="O477" s="249">
        <f>(O478-O476)/(N478-N476)*(N477-N476)+O476</f>
        <v>0.30078740157480288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datos!H181*100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datos!I181*100</f>
        <v>100200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datos!H179</f>
        <v>20.6</v>
      </c>
      <c r="J513" s="245">
        <f>(J514-J512)/(I514-I512)*(I513-I512)+J512</f>
        <v>0.11612836438923396</v>
      </c>
      <c r="K513" s="245">
        <f>(K514-K512)/(I514-I512)*(I513-I512)+K512</f>
        <v>3.9084886128364388E-2</v>
      </c>
      <c r="L513" s="242"/>
      <c r="M513" s="243"/>
      <c r="N513" s="32">
        <f>datos!I179</f>
        <v>20.7</v>
      </c>
      <c r="O513" s="245">
        <f>(O514-O512)/(N514-N512)*(N513-N512)+O512</f>
        <v>0.12006211180124217</v>
      </c>
      <c r="P513" s="245">
        <f>(P514-P512)/(N514-N512)*(N513-N512)+P512</f>
        <v>3.9105590062111797E-2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20.716128364389235</v>
      </c>
      <c r="S520" s="246">
        <f>N513+O513</f>
        <v>20.820062111801242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68.807120743034048</v>
      </c>
      <c r="S521" s="246">
        <f>N531+O531</f>
        <v>68.807120743034048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100199.1712624085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datos!H180</f>
        <v>64.599999999999994</v>
      </c>
      <c r="J531" s="249">
        <f>(J532-J530)/(I532-I530)*(I531-I530)+J530</f>
        <v>4.2071207430340554</v>
      </c>
      <c r="K531" s="249">
        <f>(K532-K530)/(I532-I530)*(I531-I530)+K530</f>
        <v>0.6</v>
      </c>
      <c r="L531" s="242"/>
      <c r="M531" s="243"/>
      <c r="N531" s="32">
        <f>datos!I180</f>
        <v>64.599999999999994</v>
      </c>
      <c r="O531" s="249">
        <f>(O532-O530)/(N532-N530)*(N531-N530)+O530</f>
        <v>4.2071207430340554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datos!H181*100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datos!I181*100</f>
        <v>100200</v>
      </c>
      <c r="O546" s="453">
        <f>(O547-O545)/(N547-N545)*(N546-N545)+O545</f>
        <v>-0.82873759149704207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3" priority="16">
      <formula>M143&gt;P143</formula>
    </cfRule>
  </conditionalFormatting>
  <conditionalFormatting sqref="N97:N248">
    <cfRule type="cellIs" dxfId="52" priority="1" operator="lessThan">
      <formula>Z97</formula>
    </cfRule>
  </conditionalFormatting>
  <conditionalFormatting sqref="P97:P248">
    <cfRule type="expression" dxfId="51" priority="2">
      <formula>P97&gt;S97</formula>
    </cfRule>
  </conditionalFormatting>
  <hyperlinks>
    <hyperlink ref="BQ44" r:id="rId1" xr:uid="{00000000-0004-0000-0B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1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7418" r:id="rId4"/>
      </mc:Fallback>
    </mc:AlternateContent>
    <mc:AlternateContent xmlns:mc="http://schemas.openxmlformats.org/markup-compatibility/2006">
      <mc:Choice Requires="x14">
        <oleObject progId="Equation.3" shapeId="1741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7419" r:id="rId6"/>
      </mc:Fallback>
    </mc:AlternateContent>
    <mc:AlternateContent xmlns:mc="http://schemas.openxmlformats.org/markup-compatibility/2006">
      <mc:Choice Requires="x14">
        <oleObject progId="Equation.3" shapeId="1742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7421" r:id="rId8"/>
      </mc:Fallback>
    </mc:AlternateContent>
    <mc:AlternateContent xmlns:mc="http://schemas.openxmlformats.org/markup-compatibility/2006">
      <mc:Choice Requires="x14">
        <oleObject progId="Equation.3" shapeId="1742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7422" r:id="rId10"/>
      </mc:Fallback>
    </mc:AlternateContent>
    <mc:AlternateContent xmlns:mc="http://schemas.openxmlformats.org/markup-compatibility/2006">
      <mc:Choice Requires="x14">
        <oleObject progId="Equation.3" shapeId="1742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7423" r:id="rId12"/>
      </mc:Fallback>
    </mc:AlternateContent>
    <mc:AlternateContent xmlns:mc="http://schemas.openxmlformats.org/markup-compatibility/2006">
      <mc:Choice Requires="x14">
        <oleObject progId="Equation.3" shapeId="1742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7424" r:id="rId14"/>
      </mc:Fallback>
    </mc:AlternateContent>
    <mc:AlternateContent xmlns:mc="http://schemas.openxmlformats.org/markup-compatibility/2006">
      <mc:Choice Requires="x14">
        <oleObject progId="Equation.3" shapeId="1742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7425" r:id="rId16"/>
      </mc:Fallback>
    </mc:AlternateContent>
    <mc:AlternateContent xmlns:mc="http://schemas.openxmlformats.org/markup-compatibility/2006">
      <mc:Choice Requires="x14">
        <oleObject progId="Equation.3" shapeId="1742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7426" r:id="rId18"/>
      </mc:Fallback>
    </mc:AlternateContent>
    <mc:AlternateContent xmlns:mc="http://schemas.openxmlformats.org/markup-compatibility/2006">
      <mc:Choice Requires="x14">
        <oleObject progId="Equation.3" shapeId="1742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7429" r:id="rId19"/>
      </mc:Fallback>
    </mc:AlternateContent>
    <mc:AlternateContent xmlns:mc="http://schemas.openxmlformats.org/markup-compatibility/2006">
      <mc:Choice Requires="x14">
        <oleObject progId="Equation.3" shapeId="174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7430" r:id="rId21"/>
      </mc:Fallback>
    </mc:AlternateContent>
    <mc:AlternateContent xmlns:mc="http://schemas.openxmlformats.org/markup-compatibility/2006">
      <mc:Choice Requires="x14">
        <oleObject progId="Equation.3" shapeId="17448" r:id="rId23">
          <objectPr defaultSize="0" autoPict="0" r:id="rId24">
            <anchor moveWithCells="1" sizeWithCells="1">
              <from>
                <xdr:col>7</xdr:col>
                <xdr:colOff>297180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137160</xdr:rowOff>
              </to>
            </anchor>
          </objectPr>
        </oleObject>
      </mc:Choice>
      <mc:Fallback>
        <oleObject progId="Equation.3" shapeId="17448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datos!G192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datos!C184</f>
        <v>N/A</v>
      </c>
      <c r="J5" s="569" t="str">
        <f>datos!C185</f>
        <v>N/A</v>
      </c>
      <c r="K5" s="569" t="str">
        <f>datos!C186</f>
        <v>N/A</v>
      </c>
      <c r="L5" s="569" t="str">
        <f>datos!C187</f>
        <v>N/A</v>
      </c>
      <c r="M5" s="569" t="str">
        <f>datos!C188</f>
        <v>N/A</v>
      </c>
      <c r="N5" s="569" t="str">
        <f>datos!C189</f>
        <v>N/A</v>
      </c>
      <c r="O5" s="569" t="str">
        <f>datos!C190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datos!C184</f>
        <v>N/A</v>
      </c>
      <c r="J6" s="569" t="str">
        <f>datos!C185</f>
        <v>N/A</v>
      </c>
      <c r="K6" s="569" t="str">
        <f>datos!C186</f>
        <v>N/A</v>
      </c>
      <c r="L6" s="569" t="str">
        <f>datos!C187</f>
        <v>N/A</v>
      </c>
      <c r="M6" s="569" t="str">
        <f>datos!C188</f>
        <v>N/A</v>
      </c>
      <c r="N6" s="569" t="str">
        <f>datos!C189</f>
        <v>N/A</v>
      </c>
      <c r="O6" s="569" t="str">
        <f>datos!C190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53.92967032967033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datos!$E$192</f>
        <v>0</v>
      </c>
      <c r="D7" s="118" t="str">
        <f>datos!F192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19.418091603053433</v>
      </c>
      <c r="AD7" s="192">
        <f>C31</f>
        <v>54.969230769230769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19.468282442748091</v>
      </c>
      <c r="AD8" s="366">
        <f>AVERAGE(AD6:AD7)</f>
        <v>54.449450549450546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1.186647843724481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19.518473282442748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54.969230769230769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19.468282442748091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19.468282442748091</v>
      </c>
      <c r="BB15" s="181"/>
      <c r="BC15" s="175"/>
      <c r="BD15" s="378"/>
      <c r="BE15" s="366" t="s">
        <v>492</v>
      </c>
      <c r="BF15" s="477">
        <f>MIN(AD6:AD7)</f>
        <v>53.92967032967033</v>
      </c>
      <c r="BG15" s="368" t="s">
        <v>42</v>
      </c>
      <c r="BH15" s="478">
        <f>AVERAGE(BF14:BF15)</f>
        <v>54.449450549450546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datos!H192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379.01402127061357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292.61828244274807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2.6106252561938581E-5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379.01402127061357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292.61828244274807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292.61828244274807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85625.459219743876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1.0039754475119116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2263.2152387344531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datos!I192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datos!D191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datos!$C$194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0.21219938614220571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datos!C195</f>
        <v>0</v>
      </c>
      <c r="J25" s="78">
        <f>datos!D195</f>
        <v>0</v>
      </c>
      <c r="K25" s="78">
        <f>datos!E195</f>
        <v>0</v>
      </c>
      <c r="L25" s="78">
        <f>datos!F195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19.418091603053433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datos!C196</f>
        <v>0</v>
      </c>
      <c r="J26" s="78">
        <f>datos!D196</f>
        <v>0</v>
      </c>
      <c r="K26" s="78">
        <f>datos!E196</f>
        <v>0</v>
      </c>
      <c r="L26" s="78">
        <f>datos!F196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datos!C197</f>
        <v>0</v>
      </c>
      <c r="J27" s="78">
        <f>datos!D197</f>
        <v>0</v>
      </c>
      <c r="K27" s="78">
        <f>datos!E197</f>
        <v>0</v>
      </c>
      <c r="L27" s="78">
        <f>datos!F197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datos!I192</f>
        <v>NI-MCPPT-06</v>
      </c>
      <c r="D28" s="758"/>
      <c r="E28" s="759"/>
      <c r="I28" s="78">
        <f>datos!C198</f>
        <v>0</v>
      </c>
      <c r="J28" s="78">
        <f>datos!D198</f>
        <v>0</v>
      </c>
      <c r="K28" s="78">
        <f>datos!E198</f>
        <v>0</v>
      </c>
      <c r="L28" s="78">
        <f>datos!F198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0.13473376240401835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0.68436971938599267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6.8436971938599265E-3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53.92967032967033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54.969230769230769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0.9996116846146933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-0.14272093966541516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datos!I192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0.13473376240401835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0.9996116846146933</v>
      </c>
      <c r="AS37" s="368"/>
      <c r="AT37" s="181"/>
      <c r="AU37" s="175"/>
      <c r="AV37" s="378"/>
      <c r="AW37" s="366" t="s">
        <v>288</v>
      </c>
      <c r="AX37" s="405">
        <f>BH29</f>
        <v>6.8436971938599265E-3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2.6106252561938581E-5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292.61828244274807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0.54449450549450551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1.2359478082407876E-2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1.0039754475119116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2263.2152387344531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0.9996116846146933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1.0039754475119116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2263.2152387344531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292.61828244274807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1.2359478082407876E-2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1.2359478082407876E-2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1.5275669846952065E-4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1.186647843724481E-5</v>
      </c>
      <c r="AT46" s="181"/>
      <c r="AU46" s="175"/>
      <c r="AV46" s="378"/>
      <c r="AW46" s="723">
        <f>SQRT((AS46*AX35)^2+(AS49*AX36)^2+(AS52*AX37)^2+(AX38^2)+(AS57*BR41)^2)</f>
        <v>6.4816891291544947E-4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1.186647843724481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4.034602668663235E-3</v>
      </c>
      <c r="AT49" s="181"/>
      <c r="AU49" s="175"/>
      <c r="AV49" s="366">
        <f>AW46*2</f>
        <v>1.2963378258308989E-3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1.186647843724481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6.4816891291544947E-4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-1.186647843724481E-2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1.2963378258308989E-3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-0.14272093966541516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tblBD_PatronMasa131511[[#This Row],[Masa nominal mN                              (g)]]+(tblBD_PatronMasa131511[[#This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tblBD_PatronMasa131511[[#This Row],[Masa nominal mN                              (g)]]+(tblBD_PatronMasa131511[[#This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tblBD_PatronMasa131511[[#This Row],[Masa nominal mN                              (g)]]+(tblBD_PatronMasa131511[[#This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tblBD_PatronMasa131511[[#This Row],[Masa nominal mN                              (g)]]+(tblBD_PatronMasa131511[[#This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tblBD_PatronMasa131511[[#This Row],[Masa nominal mN                              (g)]]+(tblBD_PatronMasa131511[[#This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tblBD_PatronMasa131511[[#This Row],[Masa nominal mN                              (g)]]+(tblBD_PatronMasa131511[[#This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tblBD_PatronMasa131511[[#This Row],[Masa nominal mN                              (g)]]+(tblBD_PatronMasa131511[[#This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tblBD_PatronMasa131511[[#This Row],[Masa nominal mN                              (g)]]+(tblBD_PatronMasa131511[[#This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tblBD_PatronMasa131511[[#This Row],[Masa nominal mN                              (g)]]+(tblBD_PatronMasa131511[[#This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tblBD_PatronMasa131511[[#This Row],[Masa nominal mN                              (g)]]+(tblBD_PatronMasa131511[[#This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tblBD_PatronMasa131511[[#This Row],[Masa nominal mN                              (g)]]+(tblBD_PatronMasa131511[[#This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tblBD_PatronMasa131511[[#This Row],[Masa nominal mN                              (g)]]+(tblBD_PatronMasa131511[[#This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tblBD_PatronMasa131511[[#This Row],[Masa nominal mN                              (g)]]+(tblBD_PatronMasa131511[[#This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tblBD_PatronMasa131511[[#This Row],[Masa nominal mN                              (g)]]+(tblBD_PatronMasa131511[[#This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tblBD_PatronMasa131511[[#This Row],[Masa nominal mN                              (g)]]+(tblBD_PatronMasa131511[[#This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tblBD_PatronMasa131511[[#This Row],[Masa nominal mN                              (g)]]+(tblBD_PatronMasa131511[[#This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tblBD_PatronMasa131511[[#This Row],[Masa nominal mN                              (g)]]+(tblBD_PatronMasa131511[[#This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tblBD_PatronMasa131511[[#This Row],[Masa nominal mN                              (g)]]+(tblBD_PatronMasa131511[[#This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tblBD_PatronMasa131511[[#This Row],[Masa nominal mN                              (g)]]+(tblBD_PatronMasa131511[[#This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tblBD_PatronMasa131511[[#This Row],[Masa nominal mN                              (g)]]+(tblBD_PatronMasa131511[[#This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tblBD_PatronMasa131511[[#This Row],[Masa nominal mN                              (g)]]+(tblBD_PatronMasa131511[[#This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tblBD_PatronMasa131511[[#This Row],[Masa nominal mN                              (g)]]+(tblBD_PatronMasa131511[[#This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tblBD_PatronMasa131511[[#This Row],[Masa nominal mN                              (g)]]+(tblBD_PatronMasa131511[[#This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tblBD_PatronMasa131511[[#This Row],[Masa nominal mN                              (g)]]+(tblBD_PatronMasa131511[[#This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tblBD_PatronMasa131511[[#This Row],[Masa nominal mN                              (g)]]+(tblBD_PatronMasa131511[[#This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tblBD_PatronMasa131511[[#This Row],[Masa nominal mN                              (g)]]+(tblBD_PatronMasa131511[[#This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tblBD_PatronMasa131511[[#This Row],[Masa nominal mN                              (g)]]+(tblBD_PatronMasa131511[[#This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tblBD_PatronMasa131511[[#This Row],[Masa nominal mN                              (g)]]+(tblBD_PatronMasa131511[[#This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tblBD_PatronMasa131511[[#This Row],[Masa nominal mN                              (g)]]+(tblBD_PatronMasa131511[[#This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tblBD_PatronMasa131511[[#This Row],[Masa nominal mN                              (g)]]+(tblBD_PatronMasa131511[[#This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tblBD_PatronMasa131511[[#This Row],[Masa nominal mN                              (g)]]+(tblBD_PatronMasa131511[[#This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tblBD_PatronMasa131511[[#This Row],[Masa nominal mN                              (g)]]+(tblBD_PatronMasa131511[[#This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tblBD_PatronMasa131511[[#This Row],[Masa nominal mN                              (g)]]+(tblBD_PatronMasa131511[[#This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tblBD_PatronMasa131511[[#This Row],[Masa nominal mN                              (g)]]+(tblBD_PatronMasa131511[[#This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tblBD_PatronMasa131511[[#This Row],[Masa nominal mN                              (g)]]+(tblBD_PatronMasa131511[[#This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tblBD_PatronMasa131511[[#This Row],[Masa nominal mN                              (g)]]+(tblBD_PatronMasa131511[[#This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tblBD_PatronMasa131511[[#This Row],[Masa nominal mN                              (g)]]+(tblBD_PatronMasa131511[[#This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tblBD_PatronMasa131511[[#This Row],[Masa nominal mN                              (g)]]+(tblBD_PatronMasa131511[[#This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tblBD_PatronMasa131511[[#This Row],[Masa nominal mN                              (g)]]+(tblBD_PatronMasa131511[[#This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tblBD_PatronMasa131511[[#This Row],[Masa nominal mN                              (g)]]+(tblBD_PatronMasa131511[[#This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tblBD_PatronMasa131511[[#This Row],[Masa nominal mN                              (g)]]+(tblBD_PatronMasa131511[[#This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tblBD_PatronMasa131511[[#This Row],[Masa nominal mN                              (g)]]+(tblBD_PatronMasa131511[[#This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tblBD_PatronMasa131511[[#This Row],[Masa nominal mN                              (g)]]+(tblBD_PatronMasa131511[[#This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tblBD_PatronMasa131511[[#This Row],[Masa nominal mN                              (g)]]+(tblBD_PatronMasa131511[[#This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tblBD_PatronMasa131511[[#This Row],[Masa nominal mN                              (g)]]+(tblBD_PatronMasa131511[[#This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tblBD_PatronMasa131511[[#This Row],[Masa nominal mN                              (g)]]+(tblBD_PatronMasa131511[[#This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tblBD_PatronMasa131511[[#This Row],[Masa nominal mN                              (g)]]+(tblBD_PatronMasa131511[[#This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tblBD_PatronMasa131511[[#This Row],[Masa nominal mN                              (g)]]+(tblBD_PatronMasa131511[[#This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tblBD_PatronMasa131511[[#This Row],[Masa nominal mN                              (g)]]+(tblBD_PatronMasa131511[[#This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tblBD_PatronMasa131511[[#This Row],[Masa nominal mN                              (g)]]+(tblBD_PatronMasa131511[[#This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tblBD_PatronMasa131511[[#This Row],[Masa nominal mN                              (g)]]+(tblBD_PatronMasa131511[[#This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tblBD_PatronMasa131511[[#This Row],[Masa nominal mN                              (g)]]+(tblBD_PatronMasa131511[[#This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tblBD_PatronMasa131511[[#This Row],[Masa nominal mN                              (g)]]+(tblBD_PatronMasa131511[[#This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tblBD_PatronMasa131511[[#This Row],[Masa nominal mN                              (g)]]+(tblBD_PatronMasa131511[[#This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tblBD_PatronMasa131511[[#This Row],[Masa nominal mN                              (g)]]+(tblBD_PatronMasa131511[[#This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tblBD_PatronMasa131511[[#This Row],[Masa nominal mN                              (g)]]+(tblBD_PatronMasa131511[[#This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datos!H192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datos!I192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datos!$H$196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datos!$I$196</f>
        <v>19.5</v>
      </c>
      <c r="O352" s="245">
        <f>(O353-O351)/(N353-N351)*(N352-N351)+O351</f>
        <v>0.11870445344129554</v>
      </c>
      <c r="P352" s="245">
        <f>(P353-P351)/(N353-N351)*(N352-N351)+P351</f>
        <v>0.25467611336032386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19.71910931174089</v>
      </c>
      <c r="S359" s="246">
        <f>N352+O352</f>
        <v>19.618704453441296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56.239517153748409</v>
      </c>
      <c r="S360" s="246">
        <f>N370+O370</f>
        <v>57.702922490470144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datos!$H$197</f>
        <v>53.5</v>
      </c>
      <c r="J370" s="249">
        <f>(J371-J369)/(I371-I369)*(I370-I369)+J369</f>
        <v>2.7395171537484106</v>
      </c>
      <c r="K370" s="249">
        <f>(K371-K369)/(I371-I369)*(I370-I369)+K369</f>
        <v>0.6</v>
      </c>
      <c r="L370" s="242"/>
      <c r="M370" s="243"/>
      <c r="N370" s="32">
        <f>datos!$I$197</f>
        <v>54.6</v>
      </c>
      <c r="O370" s="249">
        <f>(O371-O369)/(N371-N369)*(N370-N369)+O369</f>
        <v>3.1029224904701396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datos!$H$198*100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datos!$I$198*100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datos!$H$196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datos!$I$196</f>
        <v>19.5</v>
      </c>
      <c r="O406" s="245">
        <f>(O407-O405)/(N407-N405)*(N406-N405)+O405</f>
        <v>-7.3282442748091647E-2</v>
      </c>
      <c r="P406" s="245">
        <f>(P407-P405)/(N407-N405)*(N406-N405)+P405</f>
        <v>0.25190839694656486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19.426717557251909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55.464835164835165</v>
      </c>
      <c r="S414" s="246">
        <f>N424+O424</f>
        <v>56.534615384615385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datos!$H$197</f>
        <v>53.5</v>
      </c>
      <c r="J424" s="249">
        <f>(J425-J423)/(I425-I423)*(I424-I423)+J423</f>
        <v>1.9648351648351647</v>
      </c>
      <c r="K424" s="249">
        <f>(K425-K423)/(I425-I423)*(I424-I423)+K423</f>
        <v>1.3</v>
      </c>
      <c r="L424" s="242"/>
      <c r="M424" s="243"/>
      <c r="N424" s="32">
        <f>datos!$I$197</f>
        <v>54.6</v>
      </c>
      <c r="O424" s="249">
        <f>(O425-O423)/(N425-N423)*(N424-N423)+O423</f>
        <v>1.9346153846153846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datos!$H$198*100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datos!$I$198*100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datos!$H$196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datos!$I$196</f>
        <v>19.5</v>
      </c>
      <c r="O459" s="245">
        <f>(O460-O458)/(N460-N458)*(N459-N458)+O458</f>
        <v>-8.190839694656489E-2</v>
      </c>
      <c r="P459" s="245">
        <f>(P460-P458)/(N460-N458)*(N459-N458)+P458</f>
        <v>0.25904580152671758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19.418091603053433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53.92967032967033</v>
      </c>
      <c r="S467" s="246">
        <f>N477+O477</f>
        <v>54.969230769230769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datos!$H$197</f>
        <v>53.5</v>
      </c>
      <c r="J477" s="249">
        <f>(J478-J476)/(I478-I476)*(I477-I476)+J476</f>
        <v>0.4296703296703297</v>
      </c>
      <c r="K477" s="249">
        <f>(K478-K476)/(I478-I476)*(I477-I476)+K476</f>
        <v>1.3</v>
      </c>
      <c r="L477" s="242"/>
      <c r="M477" s="243"/>
      <c r="N477" s="32">
        <f>datos!$I$197</f>
        <v>54.6</v>
      </c>
      <c r="O477" s="249">
        <f>(O478-O476)/(N478-N476)*(N477-N476)+O476</f>
        <v>0.36923076923076914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datos!$I$198*100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datos!$I$198*100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datos!$H$196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datos!$I$196</f>
        <v>19.5</v>
      </c>
      <c r="O513" s="245">
        <f>(O514-O512)/(N514-N512)*(N513-N512)+O512</f>
        <v>5.2921108742004203E-2</v>
      </c>
      <c r="P513" s="245">
        <f>(P514-P512)/(N514-N512)*(N513-N512)+P512</f>
        <v>3.885287846481876E-2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19.552921108742005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56.239517153748409</v>
      </c>
      <c r="S521" s="246">
        <f>N531+O531</f>
        <v>57.702922490470144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datos!$H$197</f>
        <v>53.5</v>
      </c>
      <c r="J531" s="249">
        <f>(J532-J530)/(I532-I530)*(I531-I530)+J530</f>
        <v>2.7395171537484106</v>
      </c>
      <c r="K531" s="249">
        <f>(K532-K530)/(I532-I530)*(I531-I530)+K530</f>
        <v>0.6</v>
      </c>
      <c r="L531" s="242"/>
      <c r="M531" s="243"/>
      <c r="N531" s="32">
        <f>datos!$I$197</f>
        <v>54.6</v>
      </c>
      <c r="O531" s="249">
        <f>(O532-O530)/(N532-N530)*(N531-N530)+O530</f>
        <v>3.1029224904701396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datos!$H$198*100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datos!$I$198*100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50" priority="16">
      <formula>M143&gt;P143</formula>
    </cfRule>
  </conditionalFormatting>
  <conditionalFormatting sqref="N97:N248">
    <cfRule type="cellIs" dxfId="49" priority="1" operator="lessThan">
      <formula>Z97</formula>
    </cfRule>
  </conditionalFormatting>
  <conditionalFormatting sqref="P97:P248">
    <cfRule type="expression" dxfId="48" priority="2">
      <formula>P97&gt;S97</formula>
    </cfRule>
  </conditionalFormatting>
  <hyperlinks>
    <hyperlink ref="BQ44" r:id="rId1" xr:uid="{00000000-0004-0000-0C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8442" r:id="rId4"/>
      </mc:Fallback>
    </mc:AlternateContent>
    <mc:AlternateContent xmlns:mc="http://schemas.openxmlformats.org/markup-compatibility/2006">
      <mc:Choice Requires="x14">
        <oleObject progId="Equation.3" shapeId="1844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8443" r:id="rId6"/>
      </mc:Fallback>
    </mc:AlternateContent>
    <mc:AlternateContent xmlns:mc="http://schemas.openxmlformats.org/markup-compatibility/2006">
      <mc:Choice Requires="x14">
        <oleObject progId="Equation.3" shapeId="1844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8445" r:id="rId8"/>
      </mc:Fallback>
    </mc:AlternateContent>
    <mc:AlternateContent xmlns:mc="http://schemas.openxmlformats.org/markup-compatibility/2006">
      <mc:Choice Requires="x14">
        <oleObject progId="Equation.3" shapeId="1844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8446" r:id="rId10"/>
      </mc:Fallback>
    </mc:AlternateContent>
    <mc:AlternateContent xmlns:mc="http://schemas.openxmlformats.org/markup-compatibility/2006">
      <mc:Choice Requires="x14">
        <oleObject progId="Equation.3" shapeId="1844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8447" r:id="rId12"/>
      </mc:Fallback>
    </mc:AlternateContent>
    <mc:AlternateContent xmlns:mc="http://schemas.openxmlformats.org/markup-compatibility/2006">
      <mc:Choice Requires="x14">
        <oleObject progId="Equation.3" shapeId="1844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8448" r:id="rId14"/>
      </mc:Fallback>
    </mc:AlternateContent>
    <mc:AlternateContent xmlns:mc="http://schemas.openxmlformats.org/markup-compatibility/2006">
      <mc:Choice Requires="x14">
        <oleObject progId="Equation.3" shapeId="1844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8449" r:id="rId16"/>
      </mc:Fallback>
    </mc:AlternateContent>
    <mc:AlternateContent xmlns:mc="http://schemas.openxmlformats.org/markup-compatibility/2006">
      <mc:Choice Requires="x14">
        <oleObject progId="Equation.3" shapeId="1845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8450" r:id="rId18"/>
      </mc:Fallback>
    </mc:AlternateContent>
    <mc:AlternateContent xmlns:mc="http://schemas.openxmlformats.org/markup-compatibility/2006">
      <mc:Choice Requires="x14">
        <oleObject progId="Equation.3" shapeId="1845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8453" r:id="rId19"/>
      </mc:Fallback>
    </mc:AlternateContent>
    <mc:AlternateContent xmlns:mc="http://schemas.openxmlformats.org/markup-compatibility/2006">
      <mc:Choice Requires="x14">
        <oleObject progId="Equation.3" shapeId="1845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8454" r:id="rId21"/>
      </mc:Fallback>
    </mc:AlternateContent>
    <mc:AlternateContent xmlns:mc="http://schemas.openxmlformats.org/markup-compatibility/2006">
      <mc:Choice Requires="x14">
        <oleObject progId="Equation.3" shapeId="18472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175260</xdr:rowOff>
              </from>
              <to>
                <xdr:col>9</xdr:col>
                <xdr:colOff>693420</xdr:colOff>
                <xdr:row>43</xdr:row>
                <xdr:rowOff>190500</xdr:rowOff>
              </to>
            </anchor>
          </objectPr>
        </oleObject>
      </mc:Choice>
      <mc:Fallback>
        <oleObject progId="Equation.3" shapeId="18472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datos!G209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datos!C201</f>
        <v>N/A</v>
      </c>
      <c r="J5" s="569" t="str">
        <f>datos!C202</f>
        <v>N/A</v>
      </c>
      <c r="K5" s="569" t="str">
        <f>datos!C203</f>
        <v>N/A</v>
      </c>
      <c r="L5" s="569" t="str">
        <f>datos!C204</f>
        <v>N/A</v>
      </c>
      <c r="M5" s="569" t="str">
        <f>datos!C205</f>
        <v>N/A</v>
      </c>
      <c r="N5" s="569" t="str">
        <f>datos!C206</f>
        <v>N/A</v>
      </c>
      <c r="O5" s="569" t="str">
        <f>datos!C207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datos!C201</f>
        <v>N/A</v>
      </c>
      <c r="J6" s="569" t="str">
        <f>datos!C202</f>
        <v>N/A</v>
      </c>
      <c r="K6" s="569" t="str">
        <f>datos!C203</f>
        <v>N/A</v>
      </c>
      <c r="L6" s="569" t="str">
        <f>datos!C204</f>
        <v>N/A</v>
      </c>
      <c r="M6" s="569" t="str">
        <f>datos!C205</f>
        <v>N/A</v>
      </c>
      <c r="N6" s="569" t="str">
        <f>datos!C206</f>
        <v>N/A</v>
      </c>
      <c r="O6" s="569" t="str">
        <f>datos!C207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19.418091603053433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datos!E209</f>
        <v>0</v>
      </c>
      <c r="D7" s="118" t="str">
        <f>datos!F209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60.84724409448819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19.61885496183206</v>
      </c>
      <c r="AD8" s="366">
        <f>AVERAGE(AD6:AD7)</f>
        <v>60.431496062992125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1.185371567790561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60.84724409448819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19.61885496183206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19.418091603053433</v>
      </c>
      <c r="AZ15" s="368" t="s">
        <v>7</v>
      </c>
      <c r="BA15" s="477">
        <f>AVERAGE(AY14:AY15)</f>
        <v>19.61885496183206</v>
      </c>
      <c r="BB15" s="181"/>
      <c r="BC15" s="175"/>
      <c r="BD15" s="378"/>
      <c r="BE15" s="366" t="s">
        <v>492</v>
      </c>
      <c r="BF15" s="477">
        <f>MIN(AD6:AD7)</f>
        <v>60.015748031496059</v>
      </c>
      <c r="BG15" s="368" t="s">
        <v>42</v>
      </c>
      <c r="BH15" s="478">
        <f>AVERAGE(BF14:BF15)</f>
        <v>60.431496062992125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datos!H209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384.89947001340244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292.76885496183206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2.607817449139234E-5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384.89947001340244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292.76885496183206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292.76885496183206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85713.602435662251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1.0039787433632075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2284.4999723846004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datos!I209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datos!D208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datos!C211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8.196129800915751E-2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0.16972842312198486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19.418091603053433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datos!C212</f>
        <v>0</v>
      </c>
      <c r="J25" s="78">
        <f>datos!D212</f>
        <v>0</v>
      </c>
      <c r="K25" s="78">
        <f>datos!E212</f>
        <v>0</v>
      </c>
      <c r="L25" s="78">
        <f>datos!F212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datos!C213</f>
        <v>0</v>
      </c>
      <c r="J26" s="78">
        <f>datos!D213</f>
        <v>0</v>
      </c>
      <c r="K26" s="78">
        <f>datos!E213</f>
        <v>0</v>
      </c>
      <c r="L26" s="78">
        <f>datos!F213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datos!C214</f>
        <v>0</v>
      </c>
      <c r="J27" s="78">
        <f>datos!D214</f>
        <v>0</v>
      </c>
      <c r="K27" s="78">
        <f>datos!E214</f>
        <v>0</v>
      </c>
      <c r="L27" s="78">
        <f>datos!F214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datos!I209</f>
        <v>NI-MCPPT-06</v>
      </c>
      <c r="D28" s="758"/>
      <c r="E28" s="759"/>
      <c r="I28" s="78">
        <f>datos!C215</f>
        <v>0</v>
      </c>
      <c r="J28" s="78">
        <f>datos!D215</f>
        <v>0</v>
      </c>
      <c r="K28" s="78">
        <f>datos!E215</f>
        <v>0</v>
      </c>
      <c r="L28" s="78">
        <f>datos!F215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0.15636811601051942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0.67241435956470241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6.724143595647024E-3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O30" s="174">
        <v>6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60.84724409448819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0.99960844159137818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-0.14256743894359214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datos!I209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0.15636811601051942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0.99960844159137818</v>
      </c>
      <c r="AS37" s="368"/>
      <c r="AT37" s="181"/>
      <c r="AU37" s="175"/>
      <c r="AV37" s="378"/>
      <c r="AW37" s="366" t="s">
        <v>288</v>
      </c>
      <c r="AX37" s="405">
        <f>BH29</f>
        <v>6.724143595647024E-3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2.607817449139234E-5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292.76885496183206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0.60431496062992129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1.3846394473077523E-2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1.0039787433632075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2284.4999723846004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0.99960844159137818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1.0039787433632075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2284.4999723846004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292.76885496183206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1.3846394473077523E-2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1.3846394473077523E-2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1.9172263990407178E-4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1.185371567790561E-5</v>
      </c>
      <c r="AT46" s="181"/>
      <c r="AU46" s="175"/>
      <c r="AV46" s="378"/>
      <c r="AW46" s="723">
        <f>SQRT((AS46*AX35)^2+(AS49*AX36)^2+(AS52*AX37)^2+(AX38^2)+(AS57*BR41)^2)</f>
        <v>7.2200215969260247E-4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1.185371567790561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4.0302633304879071E-3</v>
      </c>
      <c r="AT49" s="181"/>
      <c r="AU49" s="175"/>
      <c r="AV49" s="366">
        <f>AW46*2</f>
        <v>1.4440043193852049E-3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1.185371567790561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7.2200215969260247E-4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-1.1853715677905609E-2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1.4440043193852049E-3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-0.14256743894359214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ht="14.4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565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ht="14.4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565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ht="14.4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565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ht="14.4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565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ht="14.4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565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ht="14.4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565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ht="14.4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565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ht="14.4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565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ht="14.4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565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ht="14.4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565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ht="14.4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565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ht="14.4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565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ht="14.4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565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ht="14.4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565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ht="14.4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565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ht="14.4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565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ht="14.4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565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ht="14.4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565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ht="14.4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565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ht="14.4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565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ht="14.4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565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ht="14.4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565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ht="14.4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565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ht="14.4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565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ht="14.4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565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ht="14.4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565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ht="14.4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565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ht="14.4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565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ht="14.4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565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ht="14.4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565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ht="14.4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565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ht="14.4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565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ht="14.4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565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ht="14.4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565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ht="14.4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565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ht="14.4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565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565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565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565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565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565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565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565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565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565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565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565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7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565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7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565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7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565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7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565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7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565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7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565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7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565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7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565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7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565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7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565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7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565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7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565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7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565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7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565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7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565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7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565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7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565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7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4.4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565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7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4.4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565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7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4.4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565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7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4.4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565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7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4.4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565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7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4.4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565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7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4.4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565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7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4.4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565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7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4.4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565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7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4.4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565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7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4.4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565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7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4.4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565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21">
        <f>tblBD_PatronMasa1315[[#This Row],[mpe]]/3</f>
        <v>0.33333333333333331</v>
      </c>
      <c r="Q172" s="207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4.4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565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21">
        <f>tblBD_PatronMasa1315[[#This Row],[mpe]]/3</f>
        <v>0.33333333333333331</v>
      </c>
      <c r="Q173" s="207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4.4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565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21">
        <f>tblBD_PatronMasa1315[[#This Row],[mpe]]/3</f>
        <v>0.33333333333333331</v>
      </c>
      <c r="Q174" s="207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4.4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565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21">
        <f>tblBD_PatronMasa1315[[#This Row],[mpe]]/3</f>
        <v>0.33333333333333331</v>
      </c>
      <c r="Q175" s="207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4.4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565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21">
        <f>tblBD_PatronMasa1315[[#This Row],[mpe]]/3</f>
        <v>0.33333333333333331</v>
      </c>
      <c r="Q176" s="207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4.4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565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21">
        <f>tblBD_PatronMasa1315[[#This Row],[mpe]]/3</f>
        <v>0.33333333333333331</v>
      </c>
      <c r="Q177" s="207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4.4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565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21">
        <f>tblBD_PatronMasa1315[[#This Row],[mpe]]/3</f>
        <v>0.33333333333333331</v>
      </c>
      <c r="Q178" s="207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4.4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565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21">
        <f>tblBD_PatronMasa1315[[#This Row],[mpe]]/3</f>
        <v>0.33333333333333331</v>
      </c>
      <c r="Q179" s="207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4.4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565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21">
        <f>tblBD_PatronMasa1315[[#This Row],[mpe]]/3</f>
        <v>0.33333333333333331</v>
      </c>
      <c r="Q180" s="207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4.4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565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21">
        <f>tblBD_PatronMasa1315[[#This Row],[mpe]]/3</f>
        <v>0.33333333333333331</v>
      </c>
      <c r="Q181" s="207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4.4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565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21">
        <f>tblBD_PatronMasa1315[[#This Row],[mpe]]/3</f>
        <v>0.33333333333333331</v>
      </c>
      <c r="Q182" s="207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4.4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565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21">
        <f>tblBD_PatronMasa1315[[#This Row],[mpe]]/3</f>
        <v>0.33333333333333331</v>
      </c>
      <c r="Q183" s="207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4.4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565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21">
        <f>tblBD_PatronMasa1315[[#This Row],[mpe]]/3</f>
        <v>0.33333333333333331</v>
      </c>
      <c r="Q184" s="207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4.4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565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21">
        <f>tblBD_PatronMasa1315[[#This Row],[mpe]]/3</f>
        <v>0.33333333333333331</v>
      </c>
      <c r="Q185" s="207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4.4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565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21">
        <f>tblBD_PatronMasa1315[[#This Row],[mpe]]/3</f>
        <v>0.33333333333333331</v>
      </c>
      <c r="Q186" s="207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4.4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565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21">
        <f>tblBD_PatronMasa1315[[#This Row],[mpe]]/3</f>
        <v>1.6666666666666666E-4</v>
      </c>
      <c r="Q187" s="207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4.4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565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21">
        <f>tblBD_PatronMasa1315[[#This Row],[mpe]]/3</f>
        <v>9.9999999999999991E-5</v>
      </c>
      <c r="Q188" s="207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4.4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565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21">
        <f>tblBD_PatronMasa1315[[#This Row],[mpe]]/3</f>
        <v>1.6666666666666666E-2</v>
      </c>
      <c r="Q189" s="207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4.4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565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21">
        <f>tblBD_PatronMasa1315[[#This Row],[mpe]]/3</f>
        <v>3.3333333333333333E-2</v>
      </c>
      <c r="Q190" s="207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4.4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565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21">
        <f>tblBD_PatronMasa1315[[#This Row],[mpe]]/3</f>
        <v>0.16666666666666666</v>
      </c>
      <c r="Q191" s="207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4.4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565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21">
        <f>tblBD_PatronMasa1315[[#This Row],[mpe]]/3</f>
        <v>8.3333333333333339E-4</v>
      </c>
      <c r="Q192" s="207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tblBD_PatronMasa131512[[#This Row],[Masa nominal mN                              (g)]]+(tblBD_PatronMasa131512[[#This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tblBD_PatronMasa131512[[#This Row],[Masa nominal mN                              (g)]]+(tblBD_PatronMasa131512[[#This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tblBD_PatronMasa131512[[#This Row],[Masa nominal mN                              (g)]]+(tblBD_PatronMasa131512[[#This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tblBD_PatronMasa131512[[#This Row],[Masa nominal mN                              (g)]]+(tblBD_PatronMasa131512[[#This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tblBD_PatronMasa131512[[#This Row],[Masa nominal mN                              (g)]]+(tblBD_PatronMasa131512[[#This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tblBD_PatronMasa131512[[#This Row],[Masa nominal mN                              (g)]]+(tblBD_PatronMasa131512[[#This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tblBD_PatronMasa131512[[#This Row],[Masa nominal mN                              (g)]]+(tblBD_PatronMasa131512[[#This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tblBD_PatronMasa131512[[#This Row],[Masa nominal mN                              (g)]]+(tblBD_PatronMasa131512[[#This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tblBD_PatronMasa131512[[#This Row],[Masa nominal mN                              (g)]]+(tblBD_PatronMasa131512[[#This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tblBD_PatronMasa131512[[#This Row],[Masa nominal mN                              (g)]]+(tblBD_PatronMasa131512[[#This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tblBD_PatronMasa131512[[#This Row],[Masa nominal mN                              (g)]]+(tblBD_PatronMasa131512[[#This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tblBD_PatronMasa131512[[#This Row],[Masa nominal mN                              (g)]]+(tblBD_PatronMasa131512[[#This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tblBD_PatronMasa131512[[#This Row],[Masa nominal mN                              (g)]]+(tblBD_PatronMasa131512[[#This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tblBD_PatronMasa131512[[#This Row],[Masa nominal mN                              (g)]]+(tblBD_PatronMasa131512[[#This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tblBD_PatronMasa131512[[#This Row],[Masa nominal mN                              (g)]]+(tblBD_PatronMasa131512[[#This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tblBD_PatronMasa131512[[#This Row],[Masa nominal mN                              (g)]]+(tblBD_PatronMasa131512[[#This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tblBD_PatronMasa131512[[#This Row],[Masa nominal mN                              (g)]]+(tblBD_PatronMasa131512[[#This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tblBD_PatronMasa131512[[#This Row],[Masa nominal mN                              (g)]]+(tblBD_PatronMasa131512[[#This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tblBD_PatronMasa131512[[#This Row],[Masa nominal mN                              (g)]]+(tblBD_PatronMasa131512[[#This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tblBD_PatronMasa131512[[#This Row],[Masa nominal mN                              (g)]]+(tblBD_PatronMasa131512[[#This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tblBD_PatronMasa131512[[#This Row],[Masa nominal mN                              (g)]]+(tblBD_PatronMasa131512[[#This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tblBD_PatronMasa131512[[#This Row],[Masa nominal mN                              (g)]]+(tblBD_PatronMasa131512[[#This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tblBD_PatronMasa131512[[#This Row],[Masa nominal mN                              (g)]]+(tblBD_PatronMasa131512[[#This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tblBD_PatronMasa131512[[#This Row],[Masa nominal mN                              (g)]]+(tblBD_PatronMasa131512[[#This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tblBD_PatronMasa131512[[#This Row],[Masa nominal mN                              (g)]]+(tblBD_PatronMasa131512[[#This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tblBD_PatronMasa131512[[#This Row],[Masa nominal mN                              (g)]]+(tblBD_PatronMasa131512[[#This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tblBD_PatronMasa131512[[#This Row],[Masa nominal mN                              (g)]]+(tblBD_PatronMasa131512[[#This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tblBD_PatronMasa131512[[#This Row],[Masa nominal mN                              (g)]]+(tblBD_PatronMasa131512[[#This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tblBD_PatronMasa131512[[#This Row],[Masa nominal mN                              (g)]]+(tblBD_PatronMasa131512[[#This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tblBD_PatronMasa131512[[#This Row],[Masa nominal mN                              (g)]]+(tblBD_PatronMasa131512[[#This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tblBD_PatronMasa131512[[#This Row],[Masa nominal mN                              (g)]]+(tblBD_PatronMasa131512[[#This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tblBD_PatronMasa131512[[#This Row],[Masa nominal mN                              (g)]]+(tblBD_PatronMasa131512[[#This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tblBD_PatronMasa131512[[#This Row],[Masa nominal mN                              (g)]]+(tblBD_PatronMasa131512[[#This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tblBD_PatronMasa131512[[#This Row],[Masa nominal mN                              (g)]]+(tblBD_PatronMasa131512[[#This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tblBD_PatronMasa131512[[#This Row],[Masa nominal mN                              (g)]]+(tblBD_PatronMasa131512[[#This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tblBD_PatronMasa131512[[#This Row],[Masa nominal mN                              (g)]]+(tblBD_PatronMasa131512[[#This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tblBD_PatronMasa131512[[#This Row],[Masa nominal mN                              (g)]]+(tblBD_PatronMasa131512[[#This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tblBD_PatronMasa131512[[#This Row],[Masa nominal mN                              (g)]]+(tblBD_PatronMasa131512[[#This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tblBD_PatronMasa131512[[#This Row],[Masa nominal mN                              (g)]]+(tblBD_PatronMasa131512[[#This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tblBD_PatronMasa131512[[#This Row],[Masa nominal mN                              (g)]]+(tblBD_PatronMasa131512[[#This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tblBD_PatronMasa131512[[#This Row],[Masa nominal mN                              (g)]]+(tblBD_PatronMasa131512[[#This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tblBD_PatronMasa131512[[#This Row],[Masa nominal mN                              (g)]]+(tblBD_PatronMasa131512[[#This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tblBD_PatronMasa131512[[#This Row],[Masa nominal mN                              (g)]]+(tblBD_PatronMasa131512[[#This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tblBD_PatronMasa131512[[#This Row],[Masa nominal mN                              (g)]]+(tblBD_PatronMasa131512[[#This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tblBD_PatronMasa131512[[#This Row],[Masa nominal mN                              (g)]]+(tblBD_PatronMasa131512[[#This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tblBD_PatronMasa131512[[#This Row],[Masa nominal mN                              (g)]]+(tblBD_PatronMasa131512[[#This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tblBD_PatronMasa131512[[#This Row],[Masa nominal mN                              (g)]]+(tblBD_PatronMasa131512[[#This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tblBD_PatronMasa131512[[#This Row],[Masa nominal mN                              (g)]]+(tblBD_PatronMasa131512[[#This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tblBD_PatronMasa131512[[#This Row],[Masa nominal mN                              (g)]]+(tblBD_PatronMasa131512[[#This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tblBD_PatronMasa131512[[#This Row],[Masa nominal mN                              (g)]]+(tblBD_PatronMasa131512[[#This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tblBD_PatronMasa131512[[#This Row],[Masa nominal mN                              (g)]]+(tblBD_PatronMasa131512[[#This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tblBD_PatronMasa131512[[#This Row],[Masa nominal mN                              (g)]]+(tblBD_PatronMasa131512[[#This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tblBD_PatronMasa131512[[#This Row],[Masa nominal mN                              (g)]]+(tblBD_PatronMasa131512[[#This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tblBD_PatronMasa131512[[#This Row],[Masa nominal mN                              (g)]]+(tblBD_PatronMasa131512[[#This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tblBD_PatronMasa131512[[#This Row],[Masa nominal mN                              (g)]]+(tblBD_PatronMasa131512[[#This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tblBD_PatronMasa131512[[#This Row],[Masa nominal mN                              (g)]]+(tblBD_PatronMasa131512[[#This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datos!H209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datos!I209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datos!H213</f>
        <v>19.5</v>
      </c>
      <c r="J352" s="245">
        <f>(J353-J351)/(I353-I351)*(I352-I351)+J351</f>
        <v>0.11870445344129554</v>
      </c>
      <c r="K352" s="245">
        <f>(K353-K351)/(I353-I351)*(I352-I351)+K351</f>
        <v>0.25467611336032386</v>
      </c>
      <c r="L352" s="242"/>
      <c r="M352" s="243"/>
      <c r="N352" s="32">
        <f>datos!I213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19.618704453441296</v>
      </c>
      <c r="S359" s="246">
        <f>N352+O352</f>
        <v>20.020323886639673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64.705882352941174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datos!H214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datos!I214</f>
        <v>60.7</v>
      </c>
      <c r="O370" s="249">
        <f>(O371-O369)/(N371-N369)*(N370-N369)+O369</f>
        <v>4.0058823529411764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datos!H215*100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datos!I215*100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datos!H213</f>
        <v>19.5</v>
      </c>
      <c r="J406" s="245">
        <f>(J407-J405)/(I407-I405)*(I406-I405)+J405</f>
        <v>-7.3282442748091647E-2</v>
      </c>
      <c r="K406" s="245">
        <f>(K407-K405)/(I407-I405)*(I406-I405)+K405</f>
        <v>0.25190839694656486</v>
      </c>
      <c r="L406" s="242"/>
      <c r="M406" s="243"/>
      <c r="N406" s="32">
        <f>datos!I213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19.426717557251909</v>
      </c>
      <c r="S413" s="246">
        <f>N406+O406</f>
        <v>19.805343511450381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62.443307086614176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2</v>
      </c>
      <c r="N423" s="243">
        <f>VLOOKUP(N424,M429:P433,1,TRUE)</f>
        <v>59.5</v>
      </c>
      <c r="O423" s="248">
        <f>VLOOKUP(N423,M429:P433,2,FALSE)</f>
        <v>1.8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datos!H214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datos!I214</f>
        <v>60.7</v>
      </c>
      <c r="O424" s="249">
        <f>(O425-O423)/(N425-N423)*(N424-N423)+O423</f>
        <v>1.7433070866141731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3</v>
      </c>
      <c r="N425" s="243">
        <f>VLOOKUP(M423+1,L429:O433,2,FALSE)</f>
        <v>84.9</v>
      </c>
      <c r="O425" s="248">
        <f>VLOOKUP(N425,M429:P433,2,FALSE)</f>
        <v>0.6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datos!H215*100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datos!I215*100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datos!H213</f>
        <v>19.5</v>
      </c>
      <c r="J459" s="245">
        <f>(J460-J458)/(I460-I458)*(I459-I458)+J458</f>
        <v>-8.190839694656489E-2</v>
      </c>
      <c r="K459" s="245">
        <f>(K460-K458)/(I460-I458)*(I459-I458)+K458</f>
        <v>0.25904580152671758</v>
      </c>
      <c r="L459" s="242"/>
      <c r="M459" s="243"/>
      <c r="N459" s="32">
        <f>datos!I213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19.418091603053433</v>
      </c>
      <c r="S466" s="246">
        <f>N459+O459</f>
        <v>19.819618320610687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60.84724409448819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2</v>
      </c>
      <c r="N476" s="243">
        <f>VLOOKUP(N477,M482:P486,1,TRUE)</f>
        <v>59.5</v>
      </c>
      <c r="O476" s="248">
        <f>VLOOKUP(N476,M482:P486,2,FALSE)</f>
        <v>0.1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datos!H214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datos!I214</f>
        <v>60.7</v>
      </c>
      <c r="O477" s="249">
        <f>(O478-O476)/(N478-N476)*(N477-N476)+O476</f>
        <v>0.14724409448818909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3</v>
      </c>
      <c r="N478" s="243">
        <f>VLOOKUP(M476+1,L482:O486,2,FALSE)</f>
        <v>84.9</v>
      </c>
      <c r="O478" s="248">
        <f>VLOOKUP(N478,M482:P486,2,FALSE)</f>
        <v>1.1000000000000001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datos!H215*100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datos!I215*100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datos!H213</f>
        <v>19.5</v>
      </c>
      <c r="J513" s="245">
        <f>(J514-J512)/(I514-I512)*(I513-I512)+J512</f>
        <v>5.2921108742004203E-2</v>
      </c>
      <c r="K513" s="245">
        <f>(K514-K512)/(I514-I512)*(I513-I512)+K512</f>
        <v>3.885287846481876E-2</v>
      </c>
      <c r="L513" s="242"/>
      <c r="M513" s="243"/>
      <c r="N513" s="32">
        <f>datos!I213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19.552921108742005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64.705882352941174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datos!H214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datos!I214</f>
        <v>60.7</v>
      </c>
      <c r="O531" s="249">
        <f>(O532-O530)/(N532-N530)*(N531-N530)+O530</f>
        <v>4.0058823529411764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datos!H215*100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datos!I215*100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93:M248">
    <cfRule type="expression" dxfId="47" priority="18">
      <formula>M193&gt;P193</formula>
    </cfRule>
  </conditionalFormatting>
  <conditionalFormatting sqref="N97:N248">
    <cfRule type="cellIs" dxfId="46" priority="1" operator="lessThan">
      <formula>Z97</formula>
    </cfRule>
  </conditionalFormatting>
  <conditionalFormatting sqref="P97:P248">
    <cfRule type="expression" dxfId="45" priority="2">
      <formula>P97&gt;S97</formula>
    </cfRule>
  </conditionalFormatting>
  <hyperlinks>
    <hyperlink ref="BQ44" r:id="rId1" xr:uid="{00000000-0004-0000-0D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6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9466" r:id="rId4"/>
      </mc:Fallback>
    </mc:AlternateContent>
    <mc:AlternateContent xmlns:mc="http://schemas.openxmlformats.org/markup-compatibility/2006">
      <mc:Choice Requires="x14">
        <oleObject progId="Equation.3" shapeId="1946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9467" r:id="rId6"/>
      </mc:Fallback>
    </mc:AlternateContent>
    <mc:AlternateContent xmlns:mc="http://schemas.openxmlformats.org/markup-compatibility/2006">
      <mc:Choice Requires="x14">
        <oleObject progId="Equation.3" shapeId="1946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9469" r:id="rId8"/>
      </mc:Fallback>
    </mc:AlternateContent>
    <mc:AlternateContent xmlns:mc="http://schemas.openxmlformats.org/markup-compatibility/2006">
      <mc:Choice Requires="x14">
        <oleObject progId="Equation.3" shapeId="1947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9470" r:id="rId10"/>
      </mc:Fallback>
    </mc:AlternateContent>
    <mc:AlternateContent xmlns:mc="http://schemas.openxmlformats.org/markup-compatibility/2006">
      <mc:Choice Requires="x14">
        <oleObject progId="Equation.3" shapeId="1947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9471" r:id="rId12"/>
      </mc:Fallback>
    </mc:AlternateContent>
    <mc:AlternateContent xmlns:mc="http://schemas.openxmlformats.org/markup-compatibility/2006">
      <mc:Choice Requires="x14">
        <oleObject progId="Equation.3" shapeId="1947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9472" r:id="rId14"/>
      </mc:Fallback>
    </mc:AlternateContent>
    <mc:AlternateContent xmlns:mc="http://schemas.openxmlformats.org/markup-compatibility/2006">
      <mc:Choice Requires="x14">
        <oleObject progId="Equation.3" shapeId="1947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9473" r:id="rId16"/>
      </mc:Fallback>
    </mc:AlternateContent>
    <mc:AlternateContent xmlns:mc="http://schemas.openxmlformats.org/markup-compatibility/2006">
      <mc:Choice Requires="x14">
        <oleObject progId="Equation.3" shapeId="1947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9474" r:id="rId18"/>
      </mc:Fallback>
    </mc:AlternateContent>
    <mc:AlternateContent xmlns:mc="http://schemas.openxmlformats.org/markup-compatibility/2006">
      <mc:Choice Requires="x14">
        <oleObject progId="Equation.3" shapeId="1947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9477" r:id="rId19"/>
      </mc:Fallback>
    </mc:AlternateContent>
    <mc:AlternateContent xmlns:mc="http://schemas.openxmlformats.org/markup-compatibility/2006">
      <mc:Choice Requires="x14">
        <oleObject progId="Equation.3" shapeId="1947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9478" r:id="rId21"/>
      </mc:Fallback>
    </mc:AlternateContent>
    <mc:AlternateContent xmlns:mc="http://schemas.openxmlformats.org/markup-compatibility/2006">
      <mc:Choice Requires="x14">
        <oleObject progId="Equation.3" shapeId="19496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99060</xdr:rowOff>
              </from>
              <to>
                <xdr:col>9</xdr:col>
                <xdr:colOff>655320</xdr:colOff>
                <xdr:row>43</xdr:row>
                <xdr:rowOff>114300</xdr:rowOff>
              </to>
            </anchor>
          </objectPr>
        </oleObject>
      </mc:Choice>
      <mc:Fallback>
        <oleObject progId="Equation.3" shapeId="19496" r:id="rId23"/>
      </mc:Fallback>
    </mc:AlternateContent>
  </oleObjects>
  <tableParts count="1">
    <tablePart r:id="rId2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U558"/>
  <sheetViews>
    <sheetView topLeftCell="M4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datos!G226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datos!C218</f>
        <v>N/A</v>
      </c>
      <c r="J5" s="569" t="str">
        <f>datos!C219</f>
        <v>N/A</v>
      </c>
      <c r="K5" s="569" t="str">
        <f>datos!C220</f>
        <v>N/A</v>
      </c>
      <c r="L5" s="569" t="str">
        <f>datos!C221</f>
        <v>N/A</v>
      </c>
      <c r="M5" s="569" t="str">
        <f>datos!C222</f>
        <v>N/A</v>
      </c>
      <c r="N5" s="569" t="str">
        <f>datos!C223</f>
        <v>N/A</v>
      </c>
      <c r="O5" s="569" t="str">
        <f>datos!C224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datos!C218</f>
        <v>N/A</v>
      </c>
      <c r="J6" s="569" t="str">
        <f>datos!C219</f>
        <v>N/A</v>
      </c>
      <c r="K6" s="569" t="str">
        <f>datos!C220</f>
        <v>N/A</v>
      </c>
      <c r="L6" s="569" t="str">
        <f>datos!C221</f>
        <v>N/A</v>
      </c>
      <c r="M6" s="569" t="str">
        <f>datos!C222</f>
        <v>N/A</v>
      </c>
      <c r="N6" s="569" t="str">
        <f>datos!C223</f>
        <v>N/A</v>
      </c>
      <c r="O6" s="569" t="str">
        <f>datos!C224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58.843956043956048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datos!E226</f>
        <v>0</v>
      </c>
      <c r="D7" s="118" t="str">
        <f>datos!F226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19.920000000000002</v>
      </c>
      <c r="AD7" s="192">
        <f>C31</f>
        <v>52.039560439560439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19.869809160305344</v>
      </c>
      <c r="AD8" s="366">
        <f>AVERAGE(AD6:AD7)</f>
        <v>55.441758241758244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1.1847745450041938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58.843956043956048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19.869809160305344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19.819618320610687</v>
      </c>
      <c r="AZ15" s="368" t="s">
        <v>7</v>
      </c>
      <c r="BA15" s="477">
        <f>AVERAGE(AY14:AY15)</f>
        <v>19.869809160305344</v>
      </c>
      <c r="BB15" s="181"/>
      <c r="BC15" s="175"/>
      <c r="BD15" s="378"/>
      <c r="BE15" s="366" t="s">
        <v>492</v>
      </c>
      <c r="BF15" s="477">
        <f>MIN(AD6:AD7)</f>
        <v>52.039560439560439</v>
      </c>
      <c r="BG15" s="368" t="s">
        <v>42</v>
      </c>
      <c r="BH15" s="478">
        <f>AVERAGE(BF14:BF15)</f>
        <v>55.441758241758244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datos!H226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394.80931606695418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293.01980916030533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2.6065039990092264E-5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394.80931606695418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293.01980916030533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293.01980916030533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85860.60856034176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1.0039842928769975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2320.3641041526498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datos!I226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datos!D225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datos!C228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2.0490324502289738E-2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1.3889414365671657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datos!C229</f>
        <v>0</v>
      </c>
      <c r="J25" s="78">
        <f>datos!D229</f>
        <v>0</v>
      </c>
      <c r="K25" s="78">
        <f>datos!E229</f>
        <v>0</v>
      </c>
      <c r="L25" s="78">
        <f>datos!F229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19.920000000000002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datos!C230</f>
        <v>0</v>
      </c>
      <c r="J26" s="78">
        <f>datos!D230</f>
        <v>0</v>
      </c>
      <c r="K26" s="78">
        <f>datos!E230</f>
        <v>0</v>
      </c>
      <c r="L26" s="78">
        <f>datos!F230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datos!C231</f>
        <v>0</v>
      </c>
      <c r="J27" s="78">
        <f>datos!D231</f>
        <v>0</v>
      </c>
      <c r="K27" s="78">
        <f>datos!E231</f>
        <v>0</v>
      </c>
      <c r="L27" s="78">
        <f>datos!F231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datos!I226</f>
        <v>NI-MCPPT-06</v>
      </c>
      <c r="D28" s="758"/>
      <c r="E28" s="759"/>
      <c r="I28" s="78">
        <f>datos!C232</f>
        <v>0</v>
      </c>
      <c r="J28" s="78">
        <f>datos!D232</f>
        <v>0</v>
      </c>
      <c r="K28" s="78">
        <f>datos!E232</f>
        <v>0</v>
      </c>
      <c r="L28" s="78">
        <f>datos!F232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0.17364672968859063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1.5337834421933871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1.5337834421933871E-2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58.843956043956048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52.039560439560439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0.99961401919699766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-0.14249563360258671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datos!I226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0.17364672968859063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0.99961401919699766</v>
      </c>
      <c r="AS37" s="368"/>
      <c r="AT37" s="181"/>
      <c r="AU37" s="175"/>
      <c r="AV37" s="378"/>
      <c r="AW37" s="366" t="s">
        <v>288</v>
      </c>
      <c r="AX37" s="405">
        <f>BH29</f>
        <v>1.5337834421933871E-2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2.6065039990092264E-5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293.01980916030533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0.55441758241758243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1.2902614766972033E-2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1.0039842928769975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2320.3641041526498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0.99961401919699766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1.0039842928769975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2320.3641041526498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293.01980916030533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1.2902614766972033E-2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1.2902614766972033E-2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1.6647746782488476E-4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1.1847745450041939E-5</v>
      </c>
      <c r="AT46" s="181"/>
      <c r="AU46" s="175"/>
      <c r="AV46" s="378"/>
      <c r="AW46" s="723">
        <f>SQRT((AS46*AX35)^2+(AS49*AX36)^2+(AS52*AX37)^2+(AX38^2)+(AS57*BR41)^2)</f>
        <v>7.9997804087041785E-4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1.1847745450041938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4.0282334530142589E-3</v>
      </c>
      <c r="AT49" s="181"/>
      <c r="AU49" s="175"/>
      <c r="AV49" s="366">
        <f>AW46*2</f>
        <v>1.5999560817408357E-3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1.1847745450041938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7.9997804087041785E-4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-1.1847745450041938E-2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1.5999560817408357E-3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-0.14249563360258671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tblBD_PatronMasa131513[[#This Row],[Masa nominal mN                              (g)]]+(tblBD_PatronMasa131513[[#This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tblBD_PatronMasa131513[[#This Row],[Masa nominal mN                              (g)]]+(tblBD_PatronMasa131513[[#This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tblBD_PatronMasa131513[[#This Row],[Masa nominal mN                              (g)]]+(tblBD_PatronMasa131513[[#This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tblBD_PatronMasa131513[[#This Row],[Masa nominal mN                              (g)]]+(tblBD_PatronMasa131513[[#This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tblBD_PatronMasa131513[[#This Row],[Masa nominal mN                              (g)]]+(tblBD_PatronMasa131513[[#This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tblBD_PatronMasa131513[[#This Row],[Masa nominal mN                              (g)]]+(tblBD_PatronMasa131513[[#This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tblBD_PatronMasa131513[[#This Row],[Masa nominal mN                              (g)]]+(tblBD_PatronMasa131513[[#This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tblBD_PatronMasa131513[[#This Row],[Masa nominal mN                              (g)]]+(tblBD_PatronMasa131513[[#This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tblBD_PatronMasa131513[[#This Row],[Masa nominal mN                              (g)]]+(tblBD_PatronMasa131513[[#This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tblBD_PatronMasa131513[[#This Row],[Masa nominal mN                              (g)]]+(tblBD_PatronMasa131513[[#This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tblBD_PatronMasa131513[[#This Row],[Masa nominal mN                              (g)]]+(tblBD_PatronMasa131513[[#This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tblBD_PatronMasa131513[[#This Row],[Masa nominal mN                              (g)]]+(tblBD_PatronMasa131513[[#This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tblBD_PatronMasa131513[[#This Row],[Masa nominal mN                              (g)]]+(tblBD_PatronMasa131513[[#This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tblBD_PatronMasa131513[[#This Row],[Masa nominal mN                              (g)]]+(tblBD_PatronMasa131513[[#This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tblBD_PatronMasa131513[[#This Row],[Masa nominal mN                              (g)]]+(tblBD_PatronMasa131513[[#This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tblBD_PatronMasa131513[[#This Row],[Masa nominal mN                              (g)]]+(tblBD_PatronMasa131513[[#This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tblBD_PatronMasa131513[[#This Row],[Masa nominal mN                              (g)]]+(tblBD_PatronMasa131513[[#This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tblBD_PatronMasa131513[[#This Row],[Masa nominal mN                              (g)]]+(tblBD_PatronMasa131513[[#This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tblBD_PatronMasa131513[[#This Row],[Masa nominal mN                              (g)]]+(tblBD_PatronMasa131513[[#This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tblBD_PatronMasa131513[[#This Row],[Masa nominal mN                              (g)]]+(tblBD_PatronMasa131513[[#This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tblBD_PatronMasa131513[[#This Row],[Masa nominal mN                              (g)]]+(tblBD_PatronMasa131513[[#This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tblBD_PatronMasa131513[[#This Row],[Masa nominal mN                              (g)]]+(tblBD_PatronMasa131513[[#This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tblBD_PatronMasa131513[[#This Row],[Masa nominal mN                              (g)]]+(tblBD_PatronMasa131513[[#This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tblBD_PatronMasa131513[[#This Row],[Masa nominal mN                              (g)]]+(tblBD_PatronMasa131513[[#This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tblBD_PatronMasa131513[[#This Row],[Masa nominal mN                              (g)]]+(tblBD_PatronMasa131513[[#This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tblBD_PatronMasa131513[[#This Row],[Masa nominal mN                              (g)]]+(tblBD_PatronMasa131513[[#This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tblBD_PatronMasa131513[[#This Row],[Masa nominal mN                              (g)]]+(tblBD_PatronMasa131513[[#This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tblBD_PatronMasa131513[[#This Row],[Masa nominal mN                              (g)]]+(tblBD_PatronMasa131513[[#This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tblBD_PatronMasa131513[[#This Row],[Masa nominal mN                              (g)]]+(tblBD_PatronMasa131513[[#This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tblBD_PatronMasa131513[[#This Row],[Masa nominal mN                              (g)]]+(tblBD_PatronMasa131513[[#This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tblBD_PatronMasa131513[[#This Row],[Masa nominal mN                              (g)]]+(tblBD_PatronMasa131513[[#This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tblBD_PatronMasa131513[[#This Row],[Masa nominal mN                              (g)]]+(tblBD_PatronMasa131513[[#This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tblBD_PatronMasa131513[[#This Row],[Masa nominal mN                              (g)]]+(tblBD_PatronMasa131513[[#This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tblBD_PatronMasa131513[[#This Row],[Masa nominal mN                              (g)]]+(tblBD_PatronMasa131513[[#This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tblBD_PatronMasa131513[[#This Row],[Masa nominal mN                              (g)]]+(tblBD_PatronMasa131513[[#This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tblBD_PatronMasa131513[[#This Row],[Masa nominal mN                              (g)]]+(tblBD_PatronMasa131513[[#This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tblBD_PatronMasa131513[[#This Row],[Masa nominal mN                              (g)]]+(tblBD_PatronMasa131513[[#This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tblBD_PatronMasa131513[[#This Row],[Masa nominal mN                              (g)]]+(tblBD_PatronMasa131513[[#This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tblBD_PatronMasa131513[[#This Row],[Masa nominal mN                              (g)]]+(tblBD_PatronMasa131513[[#This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tblBD_PatronMasa131513[[#This Row],[Masa nominal mN                              (g)]]+(tblBD_PatronMasa131513[[#This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tblBD_PatronMasa131513[[#This Row],[Masa nominal mN                              (g)]]+(tblBD_PatronMasa131513[[#This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tblBD_PatronMasa131513[[#This Row],[Masa nominal mN                              (g)]]+(tblBD_PatronMasa131513[[#This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tblBD_PatronMasa131513[[#This Row],[Masa nominal mN                              (g)]]+(tblBD_PatronMasa131513[[#This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tblBD_PatronMasa131513[[#This Row],[Masa nominal mN                              (g)]]+(tblBD_PatronMasa131513[[#This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tblBD_PatronMasa131513[[#This Row],[Masa nominal mN                              (g)]]+(tblBD_PatronMasa131513[[#This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tblBD_PatronMasa131513[[#This Row],[Masa nominal mN                              (g)]]+(tblBD_PatronMasa131513[[#This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tblBD_PatronMasa131513[[#This Row],[Masa nominal mN                              (g)]]+(tblBD_PatronMasa131513[[#This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tblBD_PatronMasa131513[[#This Row],[Masa nominal mN                              (g)]]+(tblBD_PatronMasa131513[[#This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tblBD_PatronMasa131513[[#This Row],[Masa nominal mN                              (g)]]+(tblBD_PatronMasa131513[[#This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tblBD_PatronMasa131513[[#This Row],[Masa nominal mN                              (g)]]+(tblBD_PatronMasa131513[[#This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tblBD_PatronMasa131513[[#This Row],[Masa nominal mN                              (g)]]+(tblBD_PatronMasa131513[[#This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tblBD_PatronMasa131513[[#This Row],[Masa nominal mN                              (g)]]+(tblBD_PatronMasa131513[[#This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tblBD_PatronMasa131513[[#This Row],[Masa nominal mN                              (g)]]+(tblBD_PatronMasa131513[[#This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tblBD_PatronMasa131513[[#This Row],[Masa nominal mN                              (g)]]+(tblBD_PatronMasa131513[[#This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tblBD_PatronMasa131513[[#This Row],[Masa nominal mN                              (g)]]+(tblBD_PatronMasa131513[[#This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tblBD_PatronMasa131513[[#This Row],[Masa nominal mN                              (g)]]+(tblBD_PatronMasa131513[[#This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datos!H226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datos!I226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datos!H230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datos!I230</f>
        <v>20</v>
      </c>
      <c r="O352" s="245">
        <f>(O353-O351)/(N353-N351)*(N352-N351)+O351</f>
        <v>0.12072874493927126</v>
      </c>
      <c r="P352" s="245">
        <f>(P353-P351)/(N353-N351)*(N352-N351)+P351</f>
        <v>0.25518218623481781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20.120728744939271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62.602683178534576</v>
      </c>
      <c r="S360" s="246">
        <f>N370+O370</f>
        <v>53.578780177890721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datos!H231</f>
        <v>58.7</v>
      </c>
      <c r="J370" s="249">
        <f>(J371-J369)/(I371-I369)*(I370-I369)+J369</f>
        <v>3.9026831785345717</v>
      </c>
      <c r="K370" s="249">
        <f>(K371-K369)/(I371-I369)*(I370-I369)+K369</f>
        <v>0.6</v>
      </c>
      <c r="L370" s="242"/>
      <c r="M370" s="243"/>
      <c r="N370" s="32">
        <f>datos!I231</f>
        <v>51.5</v>
      </c>
      <c r="O370" s="249">
        <f>(O371-O369)/(N371-N369)*(N370-N369)+O369</f>
        <v>2.0787801778907231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datos!H232*100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datos!I232*100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datos!H230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datos!I230</f>
        <v>20</v>
      </c>
      <c r="O406" s="245">
        <f>(O407-O405)/(N407-N405)*(N406-N405)+O405</f>
        <v>-0.1</v>
      </c>
      <c r="P406" s="245">
        <f>(P407-P405)/(N407-N405)*(N406-N405)+P405</f>
        <v>0.25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19.899999999999999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60.521978021978022</v>
      </c>
      <c r="S414" s="246">
        <f>N424+O424</f>
        <v>53.519780219780216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datos!H231</f>
        <v>58.7</v>
      </c>
      <c r="J424" s="249">
        <f>(J425-J423)/(I425-I423)*(I424-I423)+J423</f>
        <v>1.8219780219780219</v>
      </c>
      <c r="K424" s="249">
        <f>(K425-K423)/(I425-I423)*(I424-I423)+K423</f>
        <v>1.3</v>
      </c>
      <c r="L424" s="242"/>
      <c r="M424" s="243"/>
      <c r="N424" s="32">
        <f>datos!I231</f>
        <v>51.5</v>
      </c>
      <c r="O424" s="249">
        <f>(O425-O423)/(N425-N423)*(N424-N423)+O423</f>
        <v>2.0197802197802197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datos!H232*100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datos!I232*100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datos!H230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datos!I230</f>
        <v>20</v>
      </c>
      <c r="O459" s="245">
        <f>(O460-O458)/(N460-N458)*(N459-N458)+O458</f>
        <v>-0.08</v>
      </c>
      <c r="P459" s="245">
        <f>(P460-P458)/(N460-N458)*(N459-N458)+P458</f>
        <v>0.26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19.920000000000002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58.843956043956048</v>
      </c>
      <c r="S467" s="246">
        <f>N477+O477</f>
        <v>52.039560439560439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datos!H231</f>
        <v>58.7</v>
      </c>
      <c r="J477" s="249">
        <f>(J478-J476)/(I478-I476)*(I477-I476)+J476</f>
        <v>0.14395604395604389</v>
      </c>
      <c r="K477" s="249">
        <f>(K478-K476)/(I478-I476)*(I477-I476)+K476</f>
        <v>1.3</v>
      </c>
      <c r="L477" s="242"/>
      <c r="M477" s="243"/>
      <c r="N477" s="32">
        <f>datos!I231</f>
        <v>51.5</v>
      </c>
      <c r="O477" s="249">
        <f>(O478-O476)/(N478-N476)*(N477-N476)+O476</f>
        <v>0.53956043956043953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datos!H232*100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datos!I232*100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datos!H230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datos!H230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62.602683178534576</v>
      </c>
      <c r="S521" s="246">
        <f>N531+O531</f>
        <v>53.578780177890721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datos!H231</f>
        <v>58.7</v>
      </c>
      <c r="J531" s="249">
        <f>(J532-J530)/(I532-I530)*(I531-I530)+J530</f>
        <v>3.9026831785345717</v>
      </c>
      <c r="K531" s="249">
        <f>(K532-K530)/(I532-I530)*(I531-I530)+K530</f>
        <v>0.6</v>
      </c>
      <c r="L531" s="242"/>
      <c r="M531" s="243"/>
      <c r="N531" s="32">
        <f>datos!I231</f>
        <v>51.5</v>
      </c>
      <c r="O531" s="249">
        <f>(O532-O530)/(N532-N530)*(N531-N530)+O530</f>
        <v>2.0787801778907231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datos!H232*100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datos!I232*100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44" priority="16">
      <formula>M143&gt;P143</formula>
    </cfRule>
  </conditionalFormatting>
  <conditionalFormatting sqref="N97:N248">
    <cfRule type="cellIs" dxfId="43" priority="1" operator="lessThan">
      <formula>Z97</formula>
    </cfRule>
  </conditionalFormatting>
  <conditionalFormatting sqref="P97:P248">
    <cfRule type="expression" dxfId="42" priority="2">
      <formula>P97&gt;S97</formula>
    </cfRule>
  </conditionalFormatting>
  <hyperlinks>
    <hyperlink ref="BQ44" r:id="rId1" xr:uid="{00000000-0004-0000-0E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490" r:id="rId4"/>
      </mc:Fallback>
    </mc:AlternateContent>
    <mc:AlternateContent xmlns:mc="http://schemas.openxmlformats.org/markup-compatibility/2006">
      <mc:Choice Requires="x14">
        <oleObject progId="Equation.3" shapeId="2049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491" r:id="rId6"/>
      </mc:Fallback>
    </mc:AlternateContent>
    <mc:AlternateContent xmlns:mc="http://schemas.openxmlformats.org/markup-compatibility/2006">
      <mc:Choice Requires="x14">
        <oleObject progId="Equation.3" shapeId="2049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493" r:id="rId8"/>
      </mc:Fallback>
    </mc:AlternateContent>
    <mc:AlternateContent xmlns:mc="http://schemas.openxmlformats.org/markup-compatibility/2006">
      <mc:Choice Requires="x14">
        <oleObject progId="Equation.3" shapeId="2049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494" r:id="rId10"/>
      </mc:Fallback>
    </mc:AlternateContent>
    <mc:AlternateContent xmlns:mc="http://schemas.openxmlformats.org/markup-compatibility/2006">
      <mc:Choice Requires="x14">
        <oleObject progId="Equation.3" shapeId="2049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495" r:id="rId12"/>
      </mc:Fallback>
    </mc:AlternateContent>
    <mc:AlternateContent xmlns:mc="http://schemas.openxmlformats.org/markup-compatibility/2006">
      <mc:Choice Requires="x14">
        <oleObject progId="Equation.3" shapeId="2049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496" r:id="rId14"/>
      </mc:Fallback>
    </mc:AlternateContent>
    <mc:AlternateContent xmlns:mc="http://schemas.openxmlformats.org/markup-compatibility/2006">
      <mc:Choice Requires="x14">
        <oleObject progId="Equation.3" shapeId="2049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497" r:id="rId16"/>
      </mc:Fallback>
    </mc:AlternateContent>
    <mc:AlternateContent xmlns:mc="http://schemas.openxmlformats.org/markup-compatibility/2006">
      <mc:Choice Requires="x14">
        <oleObject progId="Equation.3" shapeId="2049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498" r:id="rId18"/>
      </mc:Fallback>
    </mc:AlternateContent>
    <mc:AlternateContent xmlns:mc="http://schemas.openxmlformats.org/markup-compatibility/2006">
      <mc:Choice Requires="x14">
        <oleObject progId="Equation.3" shapeId="2050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501" r:id="rId19"/>
      </mc:Fallback>
    </mc:AlternateContent>
    <mc:AlternateContent xmlns:mc="http://schemas.openxmlformats.org/markup-compatibility/2006">
      <mc:Choice Requires="x14">
        <oleObject progId="Equation.3" shapeId="2050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502" r:id="rId21"/>
      </mc:Fallback>
    </mc:AlternateContent>
    <mc:AlternateContent xmlns:mc="http://schemas.openxmlformats.org/markup-compatibility/2006">
      <mc:Choice Requires="x14">
        <oleObject progId="Equation.3" shapeId="20520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175260</xdr:rowOff>
              </to>
            </anchor>
          </objectPr>
        </oleObject>
      </mc:Choice>
      <mc:Fallback>
        <oleObject progId="Equation.3" shapeId="20520" r:id="rId23"/>
      </mc:Fallback>
    </mc:AlternateContent>
  </oleObjects>
  <tableParts count="1">
    <tablePart r:id="rId25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datos!G243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datos!C235</f>
        <v>N/A</v>
      </c>
      <c r="J5" s="569" t="str">
        <f>datos!C236</f>
        <v>N/A</v>
      </c>
      <c r="K5" s="569" t="str">
        <f>datos!C237</f>
        <v>N/A</v>
      </c>
      <c r="L5" s="569" t="str">
        <f>datos!C238</f>
        <v>N/A</v>
      </c>
      <c r="M5" s="569" t="str">
        <f>datos!C239</f>
        <v>N/A</v>
      </c>
      <c r="N5" s="569" t="str">
        <f>datos!C240</f>
        <v>N/A</v>
      </c>
      <c r="O5" s="569" t="str">
        <f>datos!C241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datos!C235</f>
        <v>N/A</v>
      </c>
      <c r="J6" s="569" t="str">
        <f>datos!C236</f>
        <v>N/A</v>
      </c>
      <c r="K6" s="569" t="str">
        <f>datos!C237</f>
        <v>N/A</v>
      </c>
      <c r="L6" s="569" t="str">
        <f>datos!C238</f>
        <v>N/A</v>
      </c>
      <c r="M6" s="569" t="str">
        <f>datos!C239</f>
        <v>N/A</v>
      </c>
      <c r="N6" s="569" t="str">
        <f>datos!C240</f>
        <v>N/A</v>
      </c>
      <c r="O6" s="569" t="str">
        <f>datos!C241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19.819618320610687</v>
      </c>
      <c r="AD6" s="192">
        <f>C30</f>
        <v>52.984615384615381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datos!E243</f>
        <v>0</v>
      </c>
      <c r="D7" s="118" t="str">
        <f>datos!F243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19.769427480916029</v>
      </c>
      <c r="AD8" s="366">
        <f>AVERAGE(AD6:AD7)</f>
        <v>51.992307692307691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1.1855737747444841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52.984615384615381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19.769427480916029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19.769427480916029</v>
      </c>
      <c r="BB15" s="181"/>
      <c r="BC15" s="175"/>
      <c r="BD15" s="378"/>
      <c r="BE15" s="366" t="s">
        <v>492</v>
      </c>
      <c r="BF15" s="477">
        <f>MIN(AD6:AD7)</f>
        <v>51</v>
      </c>
      <c r="BG15" s="368" t="s">
        <v>42</v>
      </c>
      <c r="BH15" s="478">
        <f>AVERAGE(BF14:BF15)</f>
        <v>51.992307692307691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datos!H243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390.83026292319789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292.919427480916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2.6082623044378651E-5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390.83026292319789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292.919427480916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292.919427480916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85801.790995747608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1.003982064607237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2305.959745141909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datos!I243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datos!D242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datos!C245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2.0490324502289013E-2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0.4051079189987557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19.819618320610687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datos!C246</f>
        <v>0</v>
      </c>
      <c r="J25" s="78">
        <f>datos!D246</f>
        <v>0</v>
      </c>
      <c r="K25" s="78">
        <f>datos!E246</f>
        <v>0</v>
      </c>
      <c r="L25" s="78">
        <f>datos!F246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datos!C247</f>
        <v>0</v>
      </c>
      <c r="J26" s="78">
        <f>datos!D247</f>
        <v>0</v>
      </c>
      <c r="K26" s="78">
        <f>datos!E247</f>
        <v>0</v>
      </c>
      <c r="L26" s="78">
        <f>datos!F247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datos!C248</f>
        <v>0</v>
      </c>
      <c r="J27" s="78">
        <f>datos!D248</f>
        <v>0</v>
      </c>
      <c r="K27" s="78">
        <f>datos!E248</f>
        <v>0</v>
      </c>
      <c r="L27" s="78">
        <f>datos!F248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datos!I243</f>
        <v>NI-MCPPT-06</v>
      </c>
      <c r="D28" s="758"/>
      <c r="E28" s="759"/>
      <c r="I28" s="78">
        <f>datos!C249</f>
        <v>0</v>
      </c>
      <c r="J28" s="78">
        <f>datos!D249</f>
        <v>0</v>
      </c>
      <c r="K28" s="78">
        <f>datos!E249</f>
        <v>0</v>
      </c>
      <c r="L28" s="78">
        <f>datos!F249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0.13473376240401824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0.76645010233467636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7.6645010233467635E-3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52.984615384615381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0.99961575560700688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-0.14259175885166211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datos!I243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0.13473376240401824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0.99961575560700688</v>
      </c>
      <c r="AS37" s="368"/>
      <c r="AT37" s="181"/>
      <c r="AU37" s="175"/>
      <c r="AV37" s="378"/>
      <c r="AW37" s="366" t="s">
        <v>288</v>
      </c>
      <c r="AX37" s="405">
        <f>BH29</f>
        <v>7.6645010233467635E-3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2.6082623044378651E-5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292.919427480916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0.51992307692307693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1.2024705520748614E-2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1.003982064607237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2305.959745141909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0.99961575560700688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1.003982064607237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2305.959745141909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292.919427480916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1.2024705520748614E-2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1.2024705520748614E-2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1.4459354286072221E-4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1.1855737747444843E-5</v>
      </c>
      <c r="AT46" s="181"/>
      <c r="AU46" s="175"/>
      <c r="AV46" s="378"/>
      <c r="AW46" s="723">
        <f>SQRT((AS46*AX35)^2+(AS49*AX36)^2+(AS52*AX37)^2+(AX38^2)+(AS57*BR41)^2)</f>
        <v>6.4887331438460581E-4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1.1855737747444841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4.030950834131246E-3</v>
      </c>
      <c r="AT49" s="181"/>
      <c r="AU49" s="175"/>
      <c r="AV49" s="366">
        <f>AW46*2</f>
        <v>1.2977466287692116E-3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1.1855737747444841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6.4887331438460581E-4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-1.1855737747444842E-2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1.2977466287692116E-3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-0.14259175885166211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tblBD_PatronMasa131514[[#This Row],[Masa nominal mN                              (g)]]+(tblBD_PatronMasa131514[[#This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tblBD_PatronMasa131514[[#This Row],[Masa nominal mN                              (g)]]+(tblBD_PatronMasa131514[[#This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tblBD_PatronMasa131514[[#This Row],[Masa nominal mN                              (g)]]+(tblBD_PatronMasa131514[[#This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tblBD_PatronMasa131514[[#This Row],[Masa nominal mN                              (g)]]+(tblBD_PatronMasa131514[[#This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tblBD_PatronMasa131514[[#This Row],[Masa nominal mN                              (g)]]+(tblBD_PatronMasa131514[[#This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tblBD_PatronMasa131514[[#This Row],[Masa nominal mN                              (g)]]+(tblBD_PatronMasa131514[[#This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tblBD_PatronMasa131514[[#This Row],[Masa nominal mN                              (g)]]+(tblBD_PatronMasa131514[[#This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tblBD_PatronMasa131514[[#This Row],[Masa nominal mN                              (g)]]+(tblBD_PatronMasa131514[[#This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tblBD_PatronMasa131514[[#This Row],[Masa nominal mN                              (g)]]+(tblBD_PatronMasa131514[[#This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tblBD_PatronMasa131514[[#This Row],[Masa nominal mN                              (g)]]+(tblBD_PatronMasa131514[[#This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tblBD_PatronMasa131514[[#This Row],[Masa nominal mN                              (g)]]+(tblBD_PatronMasa131514[[#This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tblBD_PatronMasa131514[[#This Row],[Masa nominal mN                              (g)]]+(tblBD_PatronMasa131514[[#This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tblBD_PatronMasa131514[[#This Row],[Masa nominal mN                              (g)]]+(tblBD_PatronMasa131514[[#This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tblBD_PatronMasa131514[[#This Row],[Masa nominal mN                              (g)]]+(tblBD_PatronMasa131514[[#This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tblBD_PatronMasa131514[[#This Row],[Masa nominal mN                              (g)]]+(tblBD_PatronMasa131514[[#This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tblBD_PatronMasa131514[[#This Row],[Masa nominal mN                              (g)]]+(tblBD_PatronMasa131514[[#This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tblBD_PatronMasa131514[[#This Row],[Masa nominal mN                              (g)]]+(tblBD_PatronMasa131514[[#This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tblBD_PatronMasa131514[[#This Row],[Masa nominal mN                              (g)]]+(tblBD_PatronMasa131514[[#This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tblBD_PatronMasa131514[[#This Row],[Masa nominal mN                              (g)]]+(tblBD_PatronMasa131514[[#This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tblBD_PatronMasa131514[[#This Row],[Masa nominal mN                              (g)]]+(tblBD_PatronMasa131514[[#This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tblBD_PatronMasa131514[[#This Row],[Masa nominal mN                              (g)]]+(tblBD_PatronMasa131514[[#This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tblBD_PatronMasa131514[[#This Row],[Masa nominal mN                              (g)]]+(tblBD_PatronMasa131514[[#This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tblBD_PatronMasa131514[[#This Row],[Masa nominal mN                              (g)]]+(tblBD_PatronMasa131514[[#This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tblBD_PatronMasa131514[[#This Row],[Masa nominal mN                              (g)]]+(tblBD_PatronMasa131514[[#This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tblBD_PatronMasa131514[[#This Row],[Masa nominal mN                              (g)]]+(tblBD_PatronMasa131514[[#This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tblBD_PatronMasa131514[[#This Row],[Masa nominal mN                              (g)]]+(tblBD_PatronMasa131514[[#This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tblBD_PatronMasa131514[[#This Row],[Masa nominal mN                              (g)]]+(tblBD_PatronMasa131514[[#This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tblBD_PatronMasa131514[[#This Row],[Masa nominal mN                              (g)]]+(tblBD_PatronMasa131514[[#This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tblBD_PatronMasa131514[[#This Row],[Masa nominal mN                              (g)]]+(tblBD_PatronMasa131514[[#This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tblBD_PatronMasa131514[[#This Row],[Masa nominal mN                              (g)]]+(tblBD_PatronMasa131514[[#This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tblBD_PatronMasa131514[[#This Row],[Masa nominal mN                              (g)]]+(tblBD_PatronMasa131514[[#This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tblBD_PatronMasa131514[[#This Row],[Masa nominal mN                              (g)]]+(tblBD_PatronMasa131514[[#This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tblBD_PatronMasa131514[[#This Row],[Masa nominal mN                              (g)]]+(tblBD_PatronMasa131514[[#This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tblBD_PatronMasa131514[[#This Row],[Masa nominal mN                              (g)]]+(tblBD_PatronMasa131514[[#This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tblBD_PatronMasa131514[[#This Row],[Masa nominal mN                              (g)]]+(tblBD_PatronMasa131514[[#This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tblBD_PatronMasa131514[[#This Row],[Masa nominal mN                              (g)]]+(tblBD_PatronMasa131514[[#This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tblBD_PatronMasa131514[[#This Row],[Masa nominal mN                              (g)]]+(tblBD_PatronMasa131514[[#This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tblBD_PatronMasa131514[[#This Row],[Masa nominal mN                              (g)]]+(tblBD_PatronMasa131514[[#This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tblBD_PatronMasa131514[[#This Row],[Masa nominal mN                              (g)]]+(tblBD_PatronMasa131514[[#This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tblBD_PatronMasa131514[[#This Row],[Masa nominal mN                              (g)]]+(tblBD_PatronMasa131514[[#This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tblBD_PatronMasa131514[[#This Row],[Masa nominal mN                              (g)]]+(tblBD_PatronMasa131514[[#This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tblBD_PatronMasa131514[[#This Row],[Masa nominal mN                              (g)]]+(tblBD_PatronMasa131514[[#This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tblBD_PatronMasa131514[[#This Row],[Masa nominal mN                              (g)]]+(tblBD_PatronMasa131514[[#This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tblBD_PatronMasa131514[[#This Row],[Masa nominal mN                              (g)]]+(tblBD_PatronMasa131514[[#This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tblBD_PatronMasa131514[[#This Row],[Masa nominal mN                              (g)]]+(tblBD_PatronMasa131514[[#This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tblBD_PatronMasa131514[[#This Row],[Masa nominal mN                              (g)]]+(tblBD_PatronMasa131514[[#This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tblBD_PatronMasa131514[[#This Row],[Masa nominal mN                              (g)]]+(tblBD_PatronMasa131514[[#This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tblBD_PatronMasa131514[[#This Row],[Masa nominal mN                              (g)]]+(tblBD_PatronMasa131514[[#This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tblBD_PatronMasa131514[[#This Row],[Masa nominal mN                              (g)]]+(tblBD_PatronMasa131514[[#This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tblBD_PatronMasa131514[[#This Row],[Masa nominal mN                              (g)]]+(tblBD_PatronMasa131514[[#This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tblBD_PatronMasa131514[[#This Row],[Masa nominal mN                              (g)]]+(tblBD_PatronMasa131514[[#This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tblBD_PatronMasa131514[[#This Row],[Masa nominal mN                              (g)]]+(tblBD_PatronMasa131514[[#This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tblBD_PatronMasa131514[[#This Row],[Masa nominal mN                              (g)]]+(tblBD_PatronMasa131514[[#This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tblBD_PatronMasa131514[[#This Row],[Masa nominal mN                              (g)]]+(tblBD_PatronMasa131514[[#This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tblBD_PatronMasa131514[[#This Row],[Masa nominal mN                              (g)]]+(tblBD_PatronMasa131514[[#This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tblBD_PatronMasa131514[[#This Row],[Masa nominal mN                              (g)]]+(tblBD_PatronMasa131514[[#This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datos!H243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datos!I243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datos!$H$247</f>
        <v>19.899999999999999</v>
      </c>
      <c r="J352" s="245">
        <f>(J353-J351)/(I353-I351)*(I352-I351)+J351</f>
        <v>0.12032388663967611</v>
      </c>
      <c r="K352" s="245">
        <f>(K353-K351)/(I353-I351)*(I352-I351)+K351</f>
        <v>0.25508097165991905</v>
      </c>
      <c r="L352" s="242"/>
      <c r="M352" s="243"/>
      <c r="N352" s="32">
        <f>datos!$I$247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20.020323886639673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54.909148665819565</v>
      </c>
      <c r="S360" s="246">
        <f>N370+O370</f>
        <v>52.115374841168993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datos!$H$248</f>
        <v>52.5</v>
      </c>
      <c r="J370" s="249">
        <f>(J371-J369)/(I371-I369)*(I370-I369)+J369</f>
        <v>2.4091486658195671</v>
      </c>
      <c r="K370" s="249">
        <f>(K371-K369)/(I371-I369)*(I370-I369)+K369</f>
        <v>0.6</v>
      </c>
      <c r="L370" s="242"/>
      <c r="M370" s="243"/>
      <c r="N370" s="32">
        <f>datos!$I$248</f>
        <v>50.4</v>
      </c>
      <c r="O370" s="249">
        <f>(O371-O369)/(N371-N369)*(N370-N369)+O369</f>
        <v>1.7153748411689946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datos!$H$249*100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datos!$I$249*100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datos!$H$247</f>
        <v>19.899999999999999</v>
      </c>
      <c r="J406" s="245">
        <f>(J407-J405)/(I407-I405)*(I406-I405)+J405</f>
        <v>-9.4656488549618278E-2</v>
      </c>
      <c r="K406" s="245">
        <f>(K407-K405)/(I407-I405)*(I406-I405)+K405</f>
        <v>0.25038167938931299</v>
      </c>
      <c r="L406" s="242"/>
      <c r="M406" s="243"/>
      <c r="N406" s="32">
        <f>datos!$I$247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19.805343511450381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54.492307692307691</v>
      </c>
      <c r="S414" s="246">
        <f>N424+O424</f>
        <v>52.449999999999996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datos!$H$248</f>
        <v>52.5</v>
      </c>
      <c r="J424" s="249">
        <f>(J425-J423)/(I425-I423)*(I424-I423)+J423</f>
        <v>1.9923076923076923</v>
      </c>
      <c r="K424" s="249">
        <f>(K425-K423)/(I425-I423)*(I424-I423)+K423</f>
        <v>1.3</v>
      </c>
      <c r="L424" s="242"/>
      <c r="M424" s="243"/>
      <c r="N424" s="32">
        <f>datos!$I$248</f>
        <v>50.4</v>
      </c>
      <c r="O424" s="249">
        <f>(O425-O423)/(N425-N423)*(N424-N423)+O423</f>
        <v>2.0499999999999998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datos!$H$249*100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datos!$I$249*100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datos!$H$247</f>
        <v>19.899999999999999</v>
      </c>
      <c r="J459" s="245">
        <f>(J460-J458)/(I460-I458)*(I459-I458)+J458</f>
        <v>-8.0381679389312982E-2</v>
      </c>
      <c r="K459" s="245">
        <f>(K460-K458)/(I460-I458)*(I459-I458)+K458</f>
        <v>0.25980916030534351</v>
      </c>
      <c r="L459" s="242"/>
      <c r="M459" s="243"/>
      <c r="N459" s="32">
        <f>datos!$I$247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19.819618320610687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52.984615384615381</v>
      </c>
      <c r="S467" s="246">
        <f>N477+O477</f>
        <v>51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datos!$H$248</f>
        <v>52.5</v>
      </c>
      <c r="J477" s="249">
        <f>(J478-J476)/(I478-I476)*(I477-I476)+J476</f>
        <v>0.48461538461538467</v>
      </c>
      <c r="K477" s="249">
        <f>(K478-K476)/(I478-I476)*(I477-I476)+K476</f>
        <v>1.3</v>
      </c>
      <c r="L477" s="242"/>
      <c r="M477" s="243"/>
      <c r="N477" s="32">
        <f>datos!$I$248</f>
        <v>50.4</v>
      </c>
      <c r="O477" s="249">
        <f>(O478-O476)/(N478-N476)*(N477-N476)+O476</f>
        <v>0.60000000000000009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datos!$H$249*100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datos!$I$249*100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datos!$H$247</f>
        <v>19.899999999999999</v>
      </c>
      <c r="J513" s="245">
        <f>(J514-J512)/(I514-I512)*(I513-I512)+J512</f>
        <v>8.0213219616204506E-2</v>
      </c>
      <c r="K513" s="245">
        <f>(K514-K512)/(I514-I512)*(I513-I512)+K512</f>
        <v>3.8938166311300641E-2</v>
      </c>
      <c r="L513" s="242"/>
      <c r="M513" s="243"/>
      <c r="N513" s="32">
        <f>datos!$I$247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19.980213219616203</v>
      </c>
      <c r="S520" s="246">
        <f>N513+O513</f>
        <v>19.873390191897656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54.909148665819565</v>
      </c>
      <c r="S521" s="246">
        <f>N531+O531</f>
        <v>52.115374841168993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datos!$H$248</f>
        <v>52.5</v>
      </c>
      <c r="J531" s="249">
        <f>(J532-J530)/(I532-I530)*(I531-I530)+J530</f>
        <v>2.4091486658195671</v>
      </c>
      <c r="K531" s="249">
        <f>(K532-K530)/(I532-I530)*(I531-I530)+K530</f>
        <v>0.6</v>
      </c>
      <c r="L531" s="242"/>
      <c r="M531" s="243"/>
      <c r="N531" s="32">
        <f>datos!$I$248</f>
        <v>50.4</v>
      </c>
      <c r="O531" s="249">
        <f>(O532-O530)/(N532-N530)*(N531-N530)+O530</f>
        <v>1.7153748411689946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datos!$H$249*100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datos!$I$249*100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41" priority="16">
      <formula>M143&gt;P143</formula>
    </cfRule>
  </conditionalFormatting>
  <conditionalFormatting sqref="N97:N248">
    <cfRule type="cellIs" dxfId="40" priority="1" operator="lessThan">
      <formula>Z97</formula>
    </cfRule>
  </conditionalFormatting>
  <conditionalFormatting sqref="P97:P248">
    <cfRule type="expression" dxfId="39" priority="2">
      <formula>P97&gt;S97</formula>
    </cfRule>
  </conditionalFormatting>
  <hyperlinks>
    <hyperlink ref="BQ44" r:id="rId1" xr:uid="{00000000-0004-0000-0F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1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1514" r:id="rId4"/>
      </mc:Fallback>
    </mc:AlternateContent>
    <mc:AlternateContent xmlns:mc="http://schemas.openxmlformats.org/markup-compatibility/2006">
      <mc:Choice Requires="x14">
        <oleObject progId="Equation.3" shapeId="2151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1515" r:id="rId6"/>
      </mc:Fallback>
    </mc:AlternateContent>
    <mc:AlternateContent xmlns:mc="http://schemas.openxmlformats.org/markup-compatibility/2006">
      <mc:Choice Requires="x14">
        <oleObject progId="Equation.3" shapeId="2151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1517" r:id="rId8"/>
      </mc:Fallback>
    </mc:AlternateContent>
    <mc:AlternateContent xmlns:mc="http://schemas.openxmlformats.org/markup-compatibility/2006">
      <mc:Choice Requires="x14">
        <oleObject progId="Equation.3" shapeId="2151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1518" r:id="rId10"/>
      </mc:Fallback>
    </mc:AlternateContent>
    <mc:AlternateContent xmlns:mc="http://schemas.openxmlformats.org/markup-compatibility/2006">
      <mc:Choice Requires="x14">
        <oleObject progId="Equation.3" shapeId="2151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1519" r:id="rId12"/>
      </mc:Fallback>
    </mc:AlternateContent>
    <mc:AlternateContent xmlns:mc="http://schemas.openxmlformats.org/markup-compatibility/2006">
      <mc:Choice Requires="x14">
        <oleObject progId="Equation.3" shapeId="2152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1520" r:id="rId14"/>
      </mc:Fallback>
    </mc:AlternateContent>
    <mc:AlternateContent xmlns:mc="http://schemas.openxmlformats.org/markup-compatibility/2006">
      <mc:Choice Requires="x14">
        <oleObject progId="Equation.3" shapeId="2152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1521" r:id="rId16"/>
      </mc:Fallback>
    </mc:AlternateContent>
    <mc:AlternateContent xmlns:mc="http://schemas.openxmlformats.org/markup-compatibility/2006">
      <mc:Choice Requires="x14">
        <oleObject progId="Equation.3" shapeId="2152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1522" r:id="rId18"/>
      </mc:Fallback>
    </mc:AlternateContent>
    <mc:AlternateContent xmlns:mc="http://schemas.openxmlformats.org/markup-compatibility/2006">
      <mc:Choice Requires="x14">
        <oleObject progId="Equation.3" shapeId="2152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1525" r:id="rId19"/>
      </mc:Fallback>
    </mc:AlternateContent>
    <mc:AlternateContent xmlns:mc="http://schemas.openxmlformats.org/markup-compatibility/2006">
      <mc:Choice Requires="x14">
        <oleObject progId="Equation.3" shapeId="2152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1526" r:id="rId21"/>
      </mc:Fallback>
    </mc:AlternateContent>
    <mc:AlternateContent xmlns:mc="http://schemas.openxmlformats.org/markup-compatibility/2006">
      <mc:Choice Requires="x14">
        <oleObject progId="Equation.3" shapeId="21544" r:id="rId23">
          <objectPr defaultSize="0" autoPict="0" r:id="rId24">
            <anchor moveWithCells="1" sizeWithCells="1">
              <from>
                <xdr:col>6</xdr:col>
                <xdr:colOff>563880</xdr:colOff>
                <xdr:row>38</xdr:row>
                <xdr:rowOff>289560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2154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1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1546860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datos!G260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datos!C252</f>
        <v>N/A</v>
      </c>
      <c r="J5" s="569" t="str">
        <f>datos!C253</f>
        <v>N/A</v>
      </c>
      <c r="K5" s="569" t="str">
        <f>datos!C254</f>
        <v>N/A</v>
      </c>
      <c r="L5" s="569" t="str">
        <f>datos!C255</f>
        <v>N/A</v>
      </c>
      <c r="M5" s="569" t="str">
        <f>datos!C256</f>
        <v>N/A</v>
      </c>
      <c r="N5" s="569" t="str">
        <f>datos!C257</f>
        <v>N/A</v>
      </c>
      <c r="O5" s="569" t="str">
        <f>datos!C258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datos!C252</f>
        <v>N/A</v>
      </c>
      <c r="J6" s="569" t="str">
        <f>datos!C253</f>
        <v>N/A</v>
      </c>
      <c r="K6" s="569" t="str">
        <f>datos!C254</f>
        <v>N/A</v>
      </c>
      <c r="L6" s="569" t="str">
        <f>datos!C255</f>
        <v>N/A</v>
      </c>
      <c r="M6" s="569" t="str">
        <f>datos!C256</f>
        <v>N/A</v>
      </c>
      <c r="N6" s="569" t="str">
        <f>datos!C257</f>
        <v>N/A</v>
      </c>
      <c r="O6" s="569" t="str">
        <f>datos!C258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19.61885496183206</v>
      </c>
      <c r="AD6" s="192">
        <f>C30</f>
        <v>59.316483516483522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datos!E260</f>
        <v>0</v>
      </c>
      <c r="D7" s="118" t="str">
        <f>datos!F260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19.819618320610687</v>
      </c>
      <c r="AD7" s="192">
        <f>C31</f>
        <v>56.670329670329672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19.719236641221372</v>
      </c>
      <c r="AD8" s="366">
        <f>AVERAGE(AD6:AD7)</f>
        <v>57.993406593406597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1.1851763694656505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0.26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19.819618320610687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59.316483516483522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19.719236641221372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19.61885496183206</v>
      </c>
      <c r="AZ15" s="368" t="s">
        <v>7</v>
      </c>
      <c r="BA15" s="477">
        <f>AVERAGE(AY14:AY15)</f>
        <v>19.719236641221372</v>
      </c>
      <c r="BB15" s="181"/>
      <c r="BC15" s="175"/>
      <c r="BD15" s="378"/>
      <c r="BE15" s="366" t="s">
        <v>492</v>
      </c>
      <c r="BF15" s="477">
        <f>MIN(AD6:AD7)</f>
        <v>56.670329670329672</v>
      </c>
      <c r="BG15" s="368" t="s">
        <v>42</v>
      </c>
      <c r="BH15" s="478">
        <f>AVERAGE(BF14:BF15)</f>
        <v>57.993406593406597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datos!H260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388.84829371248753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292.86923664122133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2.6073880128244312E-5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388.84829371248753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0.13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292.86923664122133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292.86923664122133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85772.3897708117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1.0039809547044791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2298.786963883143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datos!I260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datos!D259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datos!C262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0.5401438919983429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19.61885496183206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0.26</v>
      </c>
      <c r="I25" s="78">
        <f>datos!C263</f>
        <v>0</v>
      </c>
      <c r="J25" s="78">
        <f>datos!D263</f>
        <v>0</v>
      </c>
      <c r="K25" s="78">
        <f>datos!E263</f>
        <v>0</v>
      </c>
      <c r="L25" s="78">
        <f>datos!F263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19.819618320610687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datos!C264</f>
        <v>0</v>
      </c>
      <c r="J26" s="78">
        <f>datos!D264</f>
        <v>0</v>
      </c>
      <c r="K26" s="78">
        <f>datos!E264</f>
        <v>0</v>
      </c>
      <c r="L26" s="78">
        <f>datos!F264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datos!C265</f>
        <v>0</v>
      </c>
      <c r="J27" s="78">
        <f>datos!D265</f>
        <v>0</v>
      </c>
      <c r="K27" s="78">
        <f>datos!E265</f>
        <v>0</v>
      </c>
      <c r="L27" s="78">
        <f>datos!F265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datos!I260</f>
        <v>NI-MCPPT-06</v>
      </c>
      <c r="D28" s="758"/>
      <c r="E28" s="759"/>
      <c r="I28" s="78">
        <f>datos!C266</f>
        <v>0</v>
      </c>
      <c r="J28" s="78">
        <f>datos!D266</f>
        <v>0</v>
      </c>
      <c r="K28" s="78">
        <f>datos!E266</f>
        <v>0</v>
      </c>
      <c r="L28" s="78">
        <f>datos!F266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0.13932963405596752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0.84562920798447516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8.4562920798447513E-3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59.316483516483522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56.670329670329672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0.99961100395563252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-0.14254396197989169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datos!I260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0.13932963405596752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0.99961100395563252</v>
      </c>
      <c r="AS37" s="368"/>
      <c r="AT37" s="181"/>
      <c r="AU37" s="175"/>
      <c r="AV37" s="378"/>
      <c r="AW37" s="366" t="s">
        <v>288</v>
      </c>
      <c r="AX37" s="405">
        <f>BH29</f>
        <v>8.4562920798447513E-3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2.6073880128244312E-5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292.86923664122133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0.57993406593406593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1.3370895657581599E-2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1.0039809547044791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2298.786963883143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0.99961100395563252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1.0039809547044791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2298.786963883143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292.86923664122133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1.3370895657581599E-2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1.3370895657581599E-2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1.7878085068593447E-4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1.1851763694656507E-5</v>
      </c>
      <c r="AT46" s="181"/>
      <c r="AU46" s="175"/>
      <c r="AV46" s="378"/>
      <c r="AW46" s="723">
        <f>SQRT((AS46*AX35)^2+(AS49*AX36)^2+(AS52*AX37)^2+(AX38^2)+(AS57*BR41)^2)</f>
        <v>6.6558216424177097E-4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1.1851763694656505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4.029599656183212E-3</v>
      </c>
      <c r="AT49" s="181"/>
      <c r="AU49" s="175"/>
      <c r="AV49" s="366">
        <f>AW46*2</f>
        <v>1.3311643284835419E-3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1.1851763694656505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6.6558216424177097E-4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-1.1851763694656505E-2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1.3311643284835419E-3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-0.14254396197989169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tblBD_PatronMasa131516[[#This Row],[Masa nominal mN                              (g)]]+(tblBD_PatronMasa131516[[#This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tblBD_PatronMasa131516[[#This Row],[Masa nominal mN                              (g)]]+(tblBD_PatronMasa131516[[#This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tblBD_PatronMasa131516[[#This Row],[Masa nominal mN                              (g)]]+(tblBD_PatronMasa131516[[#This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tblBD_PatronMasa131516[[#This Row],[Masa nominal mN                              (g)]]+(tblBD_PatronMasa131516[[#This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tblBD_PatronMasa131516[[#This Row],[Masa nominal mN                              (g)]]+(tblBD_PatronMasa131516[[#This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tblBD_PatronMasa131516[[#This Row],[Masa nominal mN                              (g)]]+(tblBD_PatronMasa131516[[#This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tblBD_PatronMasa131516[[#This Row],[Masa nominal mN                              (g)]]+(tblBD_PatronMasa131516[[#This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tblBD_PatronMasa131516[[#This Row],[Masa nominal mN                              (g)]]+(tblBD_PatronMasa131516[[#This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tblBD_PatronMasa131516[[#This Row],[Masa nominal mN                              (g)]]+(tblBD_PatronMasa131516[[#This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tblBD_PatronMasa131516[[#This Row],[Masa nominal mN                              (g)]]+(tblBD_PatronMasa131516[[#This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tblBD_PatronMasa131516[[#This Row],[Masa nominal mN                              (g)]]+(tblBD_PatronMasa131516[[#This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tblBD_PatronMasa131516[[#This Row],[Masa nominal mN                              (g)]]+(tblBD_PatronMasa131516[[#This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tblBD_PatronMasa131516[[#This Row],[Masa nominal mN                              (g)]]+(tblBD_PatronMasa131516[[#This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tblBD_PatronMasa131516[[#This Row],[Masa nominal mN                              (g)]]+(tblBD_PatronMasa131516[[#This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tblBD_PatronMasa131516[[#This Row],[Masa nominal mN                              (g)]]+(tblBD_PatronMasa131516[[#This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tblBD_PatronMasa131516[[#This Row],[Masa nominal mN                              (g)]]+(tblBD_PatronMasa131516[[#This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tblBD_PatronMasa131516[[#This Row],[Masa nominal mN                              (g)]]+(tblBD_PatronMasa131516[[#This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tblBD_PatronMasa131516[[#This Row],[Masa nominal mN                              (g)]]+(tblBD_PatronMasa131516[[#This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tblBD_PatronMasa131516[[#This Row],[Masa nominal mN                              (g)]]+(tblBD_PatronMasa131516[[#This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tblBD_PatronMasa131516[[#This Row],[Masa nominal mN                              (g)]]+(tblBD_PatronMasa131516[[#This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tblBD_PatronMasa131516[[#This Row],[Masa nominal mN                              (g)]]+(tblBD_PatronMasa131516[[#This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tblBD_PatronMasa131516[[#This Row],[Masa nominal mN                              (g)]]+(tblBD_PatronMasa131516[[#This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tblBD_PatronMasa131516[[#This Row],[Masa nominal mN                              (g)]]+(tblBD_PatronMasa131516[[#This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tblBD_PatronMasa131516[[#This Row],[Masa nominal mN                              (g)]]+(tblBD_PatronMasa131516[[#This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tblBD_PatronMasa131516[[#This Row],[Masa nominal mN                              (g)]]+(tblBD_PatronMasa131516[[#This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tblBD_PatronMasa131516[[#This Row],[Masa nominal mN                              (g)]]+(tblBD_PatronMasa131516[[#This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tblBD_PatronMasa131516[[#This Row],[Masa nominal mN                              (g)]]+(tblBD_PatronMasa131516[[#This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tblBD_PatronMasa131516[[#This Row],[Masa nominal mN                              (g)]]+(tblBD_PatronMasa131516[[#This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tblBD_PatronMasa131516[[#This Row],[Masa nominal mN                              (g)]]+(tblBD_PatronMasa131516[[#This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tblBD_PatronMasa131516[[#This Row],[Masa nominal mN                              (g)]]+(tblBD_PatronMasa131516[[#This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tblBD_PatronMasa131516[[#This Row],[Masa nominal mN                              (g)]]+(tblBD_PatronMasa131516[[#This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tblBD_PatronMasa131516[[#This Row],[Masa nominal mN                              (g)]]+(tblBD_PatronMasa131516[[#This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tblBD_PatronMasa131516[[#This Row],[Masa nominal mN                              (g)]]+(tblBD_PatronMasa131516[[#This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tblBD_PatronMasa131516[[#This Row],[Masa nominal mN                              (g)]]+(tblBD_PatronMasa131516[[#This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tblBD_PatronMasa131516[[#This Row],[Masa nominal mN                              (g)]]+(tblBD_PatronMasa131516[[#This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tblBD_PatronMasa131516[[#This Row],[Masa nominal mN                              (g)]]+(tblBD_PatronMasa131516[[#This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tblBD_PatronMasa131516[[#This Row],[Masa nominal mN                              (g)]]+(tblBD_PatronMasa131516[[#This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tblBD_PatronMasa131516[[#This Row],[Masa nominal mN                              (g)]]+(tblBD_PatronMasa131516[[#This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tblBD_PatronMasa131516[[#This Row],[Masa nominal mN                              (g)]]+(tblBD_PatronMasa131516[[#This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tblBD_PatronMasa131516[[#This Row],[Masa nominal mN                              (g)]]+(tblBD_PatronMasa131516[[#This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tblBD_PatronMasa131516[[#This Row],[Masa nominal mN                              (g)]]+(tblBD_PatronMasa131516[[#This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tblBD_PatronMasa131516[[#This Row],[Masa nominal mN                              (g)]]+(tblBD_PatronMasa131516[[#This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tblBD_PatronMasa131516[[#This Row],[Masa nominal mN                              (g)]]+(tblBD_PatronMasa131516[[#This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tblBD_PatronMasa131516[[#This Row],[Masa nominal mN                              (g)]]+(tblBD_PatronMasa131516[[#This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tblBD_PatronMasa131516[[#This Row],[Masa nominal mN                              (g)]]+(tblBD_PatronMasa131516[[#This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tblBD_PatronMasa131516[[#This Row],[Masa nominal mN                              (g)]]+(tblBD_PatronMasa131516[[#This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tblBD_PatronMasa131516[[#This Row],[Masa nominal mN                              (g)]]+(tblBD_PatronMasa131516[[#This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tblBD_PatronMasa131516[[#This Row],[Masa nominal mN                              (g)]]+(tblBD_PatronMasa131516[[#This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tblBD_PatronMasa131516[[#This Row],[Masa nominal mN                              (g)]]+(tblBD_PatronMasa131516[[#This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tblBD_PatronMasa131516[[#This Row],[Masa nominal mN                              (g)]]+(tblBD_PatronMasa131516[[#This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tblBD_PatronMasa131516[[#This Row],[Masa nominal mN                              (g)]]+(tblBD_PatronMasa131516[[#This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tblBD_PatronMasa131516[[#This Row],[Masa nominal mN                              (g)]]+(tblBD_PatronMasa131516[[#This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tblBD_PatronMasa131516[[#This Row],[Masa nominal mN                              (g)]]+(tblBD_PatronMasa131516[[#This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tblBD_PatronMasa131516[[#This Row],[Masa nominal mN                              (g)]]+(tblBD_PatronMasa131516[[#This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tblBD_PatronMasa131516[[#This Row],[Masa nominal mN                              (g)]]+(tblBD_PatronMasa131516[[#This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tblBD_PatronMasa131516[[#This Row],[Masa nominal mN                              (g)]]+(tblBD_PatronMasa131516[[#This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datos!H260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datos!I260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datos!H264</f>
        <v>19.7</v>
      </c>
      <c r="J352" s="245">
        <f>(J353-J351)/(I353-I351)*(I352-I351)+J351</f>
        <v>0.11951417004048583</v>
      </c>
      <c r="K352" s="245">
        <f>(K353-K351)/(I353-I351)*(I352-I351)+K351</f>
        <v>0.25487854251012149</v>
      </c>
      <c r="L352" s="242"/>
      <c r="M352" s="243"/>
      <c r="N352" s="32">
        <f>datos!I264</f>
        <v>19.899999999999999</v>
      </c>
      <c r="O352" s="245">
        <f>(O353-O351)/(N353-N351)*(N352-N351)+O351</f>
        <v>0.12032388663967611</v>
      </c>
      <c r="P352" s="245">
        <f>(P353-P351)/(N353-N351)*(N352-N351)+P351</f>
        <v>0.25508097165991905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19.819514170040485</v>
      </c>
      <c r="S359" s="246">
        <f>N352+O352</f>
        <v>20.020323886639673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63.128482972136226</v>
      </c>
      <c r="S360" s="246">
        <f>N370+O370</f>
        <v>60.097585768742057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datos!H265</f>
        <v>59.2</v>
      </c>
      <c r="J370" s="249">
        <f>(J371-J369)/(I371-I369)*(I370-I369)+J369</f>
        <v>3.9284829721362229</v>
      </c>
      <c r="K370" s="249">
        <f>(K371-K369)/(I371-I369)*(I370-I369)+K369</f>
        <v>0.6</v>
      </c>
      <c r="L370" s="242"/>
      <c r="M370" s="243"/>
      <c r="N370" s="32">
        <f>datos!I265</f>
        <v>56.4</v>
      </c>
      <c r="O370" s="249">
        <f>(O371-O369)/(N371-N369)*(N370-N369)+O369</f>
        <v>3.6975857687420577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datos!H266*100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datos!I266*100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datos!H264</f>
        <v>19.7</v>
      </c>
      <c r="J406" s="245">
        <f>(J407-J405)/(I407-I405)*(I406-I405)+J405</f>
        <v>-8.3969465648854991E-2</v>
      </c>
      <c r="K406" s="245">
        <f>(K407-K405)/(I407-I405)*(I406-I405)+K405</f>
        <v>0.25114503816793893</v>
      </c>
      <c r="L406" s="242"/>
      <c r="M406" s="243"/>
      <c r="N406" s="32">
        <f>datos!I264</f>
        <v>19.899999999999999</v>
      </c>
      <c r="O406" s="245">
        <f>(O407-O405)/(N407-N405)*(N406-N405)+O405</f>
        <v>-9.4656488549618278E-2</v>
      </c>
      <c r="P406" s="245">
        <f>(P407-P405)/(N407-N405)*(N406-N405)+P405</f>
        <v>0.25038167938931299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19.616030534351143</v>
      </c>
      <c r="S413" s="246">
        <f>N406+O406</f>
        <v>19.805343511450381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61.008241758241759</v>
      </c>
      <c r="S414" s="246">
        <f>N424+O424</f>
        <v>58.285164835164835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datos!H265</f>
        <v>59.2</v>
      </c>
      <c r="J424" s="249">
        <f>(J425-J423)/(I425-I423)*(I424-I423)+J423</f>
        <v>1.8082417582417583</v>
      </c>
      <c r="K424" s="249">
        <f>(K425-K423)/(I425-I423)*(I424-I423)+K423</f>
        <v>1.3</v>
      </c>
      <c r="L424" s="242"/>
      <c r="M424" s="243"/>
      <c r="N424" s="32">
        <f>datos!I265</f>
        <v>56.4</v>
      </c>
      <c r="O424" s="249">
        <f>(O425-O423)/(N425-N423)*(N424-N423)+O423</f>
        <v>1.8851648351648351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datos!H266*100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datos!I266*100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datos!H264</f>
        <v>19.7</v>
      </c>
      <c r="J459" s="245">
        <f>(J460-J458)/(I460-I458)*(I459-I458)+J458</f>
        <v>-8.1145038167938943E-2</v>
      </c>
      <c r="K459" s="245">
        <f>(K460-K458)/(I460-I458)*(I459-I458)+K458</f>
        <v>0.25942748091603052</v>
      </c>
      <c r="L459" s="242"/>
      <c r="M459" s="243"/>
      <c r="N459" s="32">
        <f>datos!I264</f>
        <v>19.899999999999999</v>
      </c>
      <c r="O459" s="245">
        <f>(O460-O458)/(N460-N458)*(N459-N458)+O458</f>
        <v>-8.0381679389312982E-2</v>
      </c>
      <c r="P459" s="245">
        <f>(P460-P458)/(N460-N458)*(N459-N458)+P458</f>
        <v>0.25980916030534351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19.61885496183206</v>
      </c>
      <c r="S466" s="246">
        <f>N459+O459</f>
        <v>19.819618320610687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59.316483516483522</v>
      </c>
      <c r="S467" s="246">
        <f>N477+O477</f>
        <v>56.670329670329672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datos!H265</f>
        <v>59.2</v>
      </c>
      <c r="J477" s="249">
        <f>(J478-J476)/(I478-I476)*(I477-I476)+J476</f>
        <v>0.1164835164835164</v>
      </c>
      <c r="K477" s="249">
        <f>(K478-K476)/(I478-I476)*(I477-I476)+K476</f>
        <v>1.3</v>
      </c>
      <c r="L477" s="242"/>
      <c r="M477" s="243"/>
      <c r="N477" s="32">
        <f>datos!I265</f>
        <v>56.4</v>
      </c>
      <c r="O477" s="249">
        <f>(O478-O476)/(N478-N476)*(N477-N476)+O476</f>
        <v>0.27032967032967048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datos!H266*100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datos!I266*100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datos!H264</f>
        <v>19.7</v>
      </c>
      <c r="J513" s="245">
        <f>(J514-J512)/(I514-I512)*(I513-I512)+J512</f>
        <v>6.6567164179104382E-2</v>
      </c>
      <c r="K513" s="245">
        <f>(K514-K512)/(I514-I512)*(I513-I512)+K512</f>
        <v>3.8895522388059704E-2</v>
      </c>
      <c r="L513" s="242"/>
      <c r="M513" s="243"/>
      <c r="N513" s="32">
        <f>datos!I264</f>
        <v>19.899999999999999</v>
      </c>
      <c r="O513" s="245">
        <f>(O514-O512)/(N514-N512)*(N513-N512)+O512</f>
        <v>8.0213219616204506E-2</v>
      </c>
      <c r="P513" s="245">
        <f>(P514-P512)/(N514-N512)*(N513-N512)+P512</f>
        <v>3.8938166311300641E-2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19.766567164179104</v>
      </c>
      <c r="S520" s="246">
        <f>N513+O513</f>
        <v>19.980213219616203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63.128482972136226</v>
      </c>
      <c r="S521" s="246">
        <f>N531+O531</f>
        <v>60.097585768742057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datos!H265</f>
        <v>59.2</v>
      </c>
      <c r="J531" s="249">
        <f>(J532-J530)/(I532-I530)*(I531-I530)+J530</f>
        <v>3.9284829721362229</v>
      </c>
      <c r="K531" s="249">
        <f>(K532-K530)/(I532-I530)*(I531-I530)+K530</f>
        <v>0.6</v>
      </c>
      <c r="L531" s="242"/>
      <c r="M531" s="243"/>
      <c r="N531" s="32">
        <f>datos!I265</f>
        <v>56.4</v>
      </c>
      <c r="O531" s="249">
        <f>(O532-O530)/(N532-N530)*(N531-N530)+O530</f>
        <v>3.6975857687420577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datos!H266*100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datos!I266*100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8" priority="16">
      <formula>M143&gt;P143</formula>
    </cfRule>
  </conditionalFormatting>
  <conditionalFormatting sqref="N97:N248">
    <cfRule type="cellIs" dxfId="37" priority="1" operator="lessThan">
      <formula>Z97</formula>
    </cfRule>
  </conditionalFormatting>
  <conditionalFormatting sqref="P97:P248">
    <cfRule type="expression" dxfId="36" priority="2">
      <formula>P97&gt;S97</formula>
    </cfRule>
  </conditionalFormatting>
  <hyperlinks>
    <hyperlink ref="BQ44" r:id="rId1" xr:uid="{00000000-0004-0000-10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253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2538" r:id="rId4"/>
      </mc:Fallback>
    </mc:AlternateContent>
    <mc:AlternateContent xmlns:mc="http://schemas.openxmlformats.org/markup-compatibility/2006">
      <mc:Choice Requires="x14">
        <oleObject progId="Equation.3" shapeId="2253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2539" r:id="rId6"/>
      </mc:Fallback>
    </mc:AlternateContent>
    <mc:AlternateContent xmlns:mc="http://schemas.openxmlformats.org/markup-compatibility/2006">
      <mc:Choice Requires="x14">
        <oleObject progId="Equation.3" shapeId="2254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2541" r:id="rId8"/>
      </mc:Fallback>
    </mc:AlternateContent>
    <mc:AlternateContent xmlns:mc="http://schemas.openxmlformats.org/markup-compatibility/2006">
      <mc:Choice Requires="x14">
        <oleObject progId="Equation.3" shapeId="2254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2542" r:id="rId10"/>
      </mc:Fallback>
    </mc:AlternateContent>
    <mc:AlternateContent xmlns:mc="http://schemas.openxmlformats.org/markup-compatibility/2006">
      <mc:Choice Requires="x14">
        <oleObject progId="Equation.3" shapeId="2254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2543" r:id="rId12"/>
      </mc:Fallback>
    </mc:AlternateContent>
    <mc:AlternateContent xmlns:mc="http://schemas.openxmlformats.org/markup-compatibility/2006">
      <mc:Choice Requires="x14">
        <oleObject progId="Equation.3" shapeId="2254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2544" r:id="rId14"/>
      </mc:Fallback>
    </mc:AlternateContent>
    <mc:AlternateContent xmlns:mc="http://schemas.openxmlformats.org/markup-compatibility/2006">
      <mc:Choice Requires="x14">
        <oleObject progId="Equation.3" shapeId="2254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2545" r:id="rId16"/>
      </mc:Fallback>
    </mc:AlternateContent>
    <mc:AlternateContent xmlns:mc="http://schemas.openxmlformats.org/markup-compatibility/2006">
      <mc:Choice Requires="x14">
        <oleObject progId="Equation.3" shapeId="2254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2546" r:id="rId18"/>
      </mc:Fallback>
    </mc:AlternateContent>
    <mc:AlternateContent xmlns:mc="http://schemas.openxmlformats.org/markup-compatibility/2006">
      <mc:Choice Requires="x14">
        <oleObject progId="Equation.3" shapeId="2254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2549" r:id="rId19"/>
      </mc:Fallback>
    </mc:AlternateContent>
    <mc:AlternateContent xmlns:mc="http://schemas.openxmlformats.org/markup-compatibility/2006">
      <mc:Choice Requires="x14">
        <oleObject progId="Equation.3" shapeId="2255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2550" r:id="rId21"/>
      </mc:Fallback>
    </mc:AlternateContent>
    <mc:AlternateContent xmlns:mc="http://schemas.openxmlformats.org/markup-compatibility/2006">
      <mc:Choice Requires="x14">
        <oleObject progId="Equation.3" shapeId="22568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121920</xdr:rowOff>
              </from>
              <to>
                <xdr:col>9</xdr:col>
                <xdr:colOff>601980</xdr:colOff>
                <xdr:row>43</xdr:row>
                <xdr:rowOff>144780</xdr:rowOff>
              </to>
            </anchor>
          </objectPr>
        </oleObject>
      </mc:Choice>
      <mc:Fallback>
        <oleObject progId="Equation.3" shapeId="22568" r:id="rId23"/>
      </mc:Fallback>
    </mc:AlternateContent>
  </oleObjects>
  <tableParts count="1">
    <tablePart r:id="rId2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datos!G277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datos!C269</f>
        <v>N/A</v>
      </c>
      <c r="J5" s="569" t="str">
        <f>datos!C270</f>
        <v>N/A</v>
      </c>
      <c r="K5" s="569" t="str">
        <f>datos!C271</f>
        <v>N/A</v>
      </c>
      <c r="L5" s="569" t="str">
        <f>datos!C272</f>
        <v>N/A</v>
      </c>
      <c r="M5" s="569" t="str">
        <f>datos!C273</f>
        <v>N/A</v>
      </c>
      <c r="N5" s="569" t="str">
        <f>datos!C274</f>
        <v>N/A</v>
      </c>
      <c r="O5" s="569" t="str">
        <f>datos!C275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datos!C269</f>
        <v>N/A</v>
      </c>
      <c r="J6" s="569" t="str">
        <f>datos!C270</f>
        <v>N/A</v>
      </c>
      <c r="K6" s="569" t="str">
        <f>datos!C271</f>
        <v>N/A</v>
      </c>
      <c r="L6" s="569" t="str">
        <f>datos!C272</f>
        <v>N/A</v>
      </c>
      <c r="M6" s="569" t="str">
        <f>datos!C273</f>
        <v>N/A</v>
      </c>
      <c r="N6" s="569" t="str">
        <f>datos!C274</f>
        <v>N/A</v>
      </c>
      <c r="O6" s="569" t="str">
        <f>datos!C275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datos!E277</f>
        <v>0</v>
      </c>
      <c r="D7" s="118" t="str">
        <f>datos!F277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56.103296703296699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53.976923076923072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1.1851477414504885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56.103296703296699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53.976923076923072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datos!H277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2.6073250311910748E-5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datos!I277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datos!D276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datos!C279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0.86808839785447711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datos!C280</f>
        <v>0</v>
      </c>
      <c r="J25" s="78">
        <f>datos!D280</f>
        <v>0</v>
      </c>
      <c r="K25" s="78">
        <f>datos!E280</f>
        <v>0</v>
      </c>
      <c r="L25" s="78">
        <f>datos!F280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datos!C281</f>
        <v>0</v>
      </c>
      <c r="J26" s="78">
        <f>datos!D281</f>
        <v>0</v>
      </c>
      <c r="K26" s="78">
        <f>datos!E281</f>
        <v>0</v>
      </c>
      <c r="L26" s="78">
        <f>datos!F281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datos!C282</f>
        <v>0</v>
      </c>
      <c r="J27" s="78">
        <f>datos!D282</f>
        <v>0</v>
      </c>
      <c r="K27" s="78">
        <f>datos!E282</f>
        <v>0</v>
      </c>
      <c r="L27" s="78">
        <f>datos!F282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datos!I277</f>
        <v>NI-MCPPT-06</v>
      </c>
      <c r="D28" s="758"/>
      <c r="E28" s="759"/>
      <c r="I28" s="78">
        <f>datos!C283</f>
        <v>0</v>
      </c>
      <c r="J28" s="78">
        <f>datos!D283</f>
        <v>0</v>
      </c>
      <c r="K28" s="78">
        <f>datos!E283</f>
        <v>0</v>
      </c>
      <c r="L28" s="78">
        <f>datos!F283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1.0848551976291059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1.0848551976291058E-2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56.103296703296699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0.99961471226952237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-0.1425405188208734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datos!I277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0.99961471226952237</v>
      </c>
      <c r="AS37" s="368"/>
      <c r="AT37" s="181"/>
      <c r="AU37" s="175"/>
      <c r="AV37" s="378"/>
      <c r="AW37" s="366" t="s">
        <v>288</v>
      </c>
      <c r="AX37" s="405">
        <f>BH29</f>
        <v>1.0848551976291058E-2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2.6073250311910748E-5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0.53976923076923067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1.2522655456583841E-2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0.99961471226952237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1.2522655456583841E-2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1.2522655456583841E-2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1.5681689968430904E-4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1.1851477414504885E-5</v>
      </c>
      <c r="AT46" s="181"/>
      <c r="AU46" s="175"/>
      <c r="AV46" s="378"/>
      <c r="AW46" s="723">
        <f>SQRT((AS46*AX35)^2+(AS49*AX36)^2+(AS52*AX37)^2+(AX38^2)+(AS57*BR41)^2)</f>
        <v>8.0268768610827843E-4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1.1851477414504885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4.0295023209316605E-3</v>
      </c>
      <c r="AT49" s="181"/>
      <c r="AU49" s="175"/>
      <c r="AV49" s="366">
        <f>AW46*2</f>
        <v>1.6053753722165569E-3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1.1851477414504885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8.0268768610827843E-4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-1.1851477414504886E-2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1.6053753722165569E-3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-0.1425405188208734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tblBD_PatronMasa131517[[#This Row],[Masa nominal mN                              (g)]]+(tblBD_PatronMasa131517[[#This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tblBD_PatronMasa131517[[#This Row],[Masa nominal mN                              (g)]]+(tblBD_PatronMasa131517[[#This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tblBD_PatronMasa131517[[#This Row],[Masa nominal mN                              (g)]]+(tblBD_PatronMasa131517[[#This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tblBD_PatronMasa131517[[#This Row],[Masa nominal mN                              (g)]]+(tblBD_PatronMasa131517[[#This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tblBD_PatronMasa131517[[#This Row],[Masa nominal mN                              (g)]]+(tblBD_PatronMasa131517[[#This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tblBD_PatronMasa131517[[#This Row],[Masa nominal mN                              (g)]]+(tblBD_PatronMasa131517[[#This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tblBD_PatronMasa131517[[#This Row],[Masa nominal mN                              (g)]]+(tblBD_PatronMasa131517[[#This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tblBD_PatronMasa131517[[#This Row],[Masa nominal mN                              (g)]]+(tblBD_PatronMasa131517[[#This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tblBD_PatronMasa131517[[#This Row],[Masa nominal mN                              (g)]]+(tblBD_PatronMasa131517[[#This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tblBD_PatronMasa131517[[#This Row],[Masa nominal mN                              (g)]]+(tblBD_PatronMasa131517[[#This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tblBD_PatronMasa131517[[#This Row],[Masa nominal mN                              (g)]]+(tblBD_PatronMasa131517[[#This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tblBD_PatronMasa131517[[#This Row],[Masa nominal mN                              (g)]]+(tblBD_PatronMasa131517[[#This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tblBD_PatronMasa131517[[#This Row],[Masa nominal mN                              (g)]]+(tblBD_PatronMasa131517[[#This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tblBD_PatronMasa131517[[#This Row],[Masa nominal mN                              (g)]]+(tblBD_PatronMasa131517[[#This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tblBD_PatronMasa131517[[#This Row],[Masa nominal mN                              (g)]]+(tblBD_PatronMasa131517[[#This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tblBD_PatronMasa131517[[#This Row],[Masa nominal mN                              (g)]]+(tblBD_PatronMasa131517[[#This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tblBD_PatronMasa131517[[#This Row],[Masa nominal mN                              (g)]]+(tblBD_PatronMasa131517[[#This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tblBD_PatronMasa131517[[#This Row],[Masa nominal mN                              (g)]]+(tblBD_PatronMasa131517[[#This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tblBD_PatronMasa131517[[#This Row],[Masa nominal mN                              (g)]]+(tblBD_PatronMasa131517[[#This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tblBD_PatronMasa131517[[#This Row],[Masa nominal mN                              (g)]]+(tblBD_PatronMasa131517[[#This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tblBD_PatronMasa131517[[#This Row],[Masa nominal mN                              (g)]]+(tblBD_PatronMasa131517[[#This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tblBD_PatronMasa131517[[#This Row],[Masa nominal mN                              (g)]]+(tblBD_PatronMasa131517[[#This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tblBD_PatronMasa131517[[#This Row],[Masa nominal mN                              (g)]]+(tblBD_PatronMasa131517[[#This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tblBD_PatronMasa131517[[#This Row],[Masa nominal mN                              (g)]]+(tblBD_PatronMasa131517[[#This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tblBD_PatronMasa131517[[#This Row],[Masa nominal mN                              (g)]]+(tblBD_PatronMasa131517[[#This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tblBD_PatronMasa131517[[#This Row],[Masa nominal mN                              (g)]]+(tblBD_PatronMasa131517[[#This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tblBD_PatronMasa131517[[#This Row],[Masa nominal mN                              (g)]]+(tblBD_PatronMasa131517[[#This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tblBD_PatronMasa131517[[#This Row],[Masa nominal mN                              (g)]]+(tblBD_PatronMasa131517[[#This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tblBD_PatronMasa131517[[#This Row],[Masa nominal mN                              (g)]]+(tblBD_PatronMasa131517[[#This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tblBD_PatronMasa131517[[#This Row],[Masa nominal mN                              (g)]]+(tblBD_PatronMasa131517[[#This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tblBD_PatronMasa131517[[#This Row],[Masa nominal mN                              (g)]]+(tblBD_PatronMasa131517[[#This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tblBD_PatronMasa131517[[#This Row],[Masa nominal mN                              (g)]]+(tblBD_PatronMasa131517[[#This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tblBD_PatronMasa131517[[#This Row],[Masa nominal mN                              (g)]]+(tblBD_PatronMasa131517[[#This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tblBD_PatronMasa131517[[#This Row],[Masa nominal mN                              (g)]]+(tblBD_PatronMasa131517[[#This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tblBD_PatronMasa131517[[#This Row],[Masa nominal mN                              (g)]]+(tblBD_PatronMasa131517[[#This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tblBD_PatronMasa131517[[#This Row],[Masa nominal mN                              (g)]]+(tblBD_PatronMasa131517[[#This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tblBD_PatronMasa131517[[#This Row],[Masa nominal mN                              (g)]]+(tblBD_PatronMasa131517[[#This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tblBD_PatronMasa131517[[#This Row],[Masa nominal mN                              (g)]]+(tblBD_PatronMasa131517[[#This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tblBD_PatronMasa131517[[#This Row],[Masa nominal mN                              (g)]]+(tblBD_PatronMasa131517[[#This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tblBD_PatronMasa131517[[#This Row],[Masa nominal mN                              (g)]]+(tblBD_PatronMasa131517[[#This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tblBD_PatronMasa131517[[#This Row],[Masa nominal mN                              (g)]]+(tblBD_PatronMasa131517[[#This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tblBD_PatronMasa131517[[#This Row],[Masa nominal mN                              (g)]]+(tblBD_PatronMasa131517[[#This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tblBD_PatronMasa131517[[#This Row],[Masa nominal mN                              (g)]]+(tblBD_PatronMasa131517[[#This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tblBD_PatronMasa131517[[#This Row],[Masa nominal mN                              (g)]]+(tblBD_PatronMasa131517[[#This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tblBD_PatronMasa131517[[#This Row],[Masa nominal mN                              (g)]]+(tblBD_PatronMasa131517[[#This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tblBD_PatronMasa131517[[#This Row],[Masa nominal mN                              (g)]]+(tblBD_PatronMasa131517[[#This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tblBD_PatronMasa131517[[#This Row],[Masa nominal mN                              (g)]]+(tblBD_PatronMasa131517[[#This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tblBD_PatronMasa131517[[#This Row],[Masa nominal mN                              (g)]]+(tblBD_PatronMasa131517[[#This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tblBD_PatronMasa131517[[#This Row],[Masa nominal mN                              (g)]]+(tblBD_PatronMasa131517[[#This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tblBD_PatronMasa131517[[#This Row],[Masa nominal mN                              (g)]]+(tblBD_PatronMasa131517[[#This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tblBD_PatronMasa131517[[#This Row],[Masa nominal mN                              (g)]]+(tblBD_PatronMasa131517[[#This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tblBD_PatronMasa131517[[#This Row],[Masa nominal mN                              (g)]]+(tblBD_PatronMasa131517[[#This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tblBD_PatronMasa131517[[#This Row],[Masa nominal mN                              (g)]]+(tblBD_PatronMasa131517[[#This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tblBD_PatronMasa131517[[#This Row],[Masa nominal mN                              (g)]]+(tblBD_PatronMasa131517[[#This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tblBD_PatronMasa131517[[#This Row],[Masa nominal mN                              (g)]]+(tblBD_PatronMasa131517[[#This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tblBD_PatronMasa131517[[#This Row],[Masa nominal mN                              (g)]]+(tblBD_PatronMasa131517[[#This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datos!H277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datos!I277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datos!H281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datos!I281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datos!H282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datos!I282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datos!H283*100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datos!I283*100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datos!H281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datos!I281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datos!H282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datos!I282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datos!H283*100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datos!I283*100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datos!H281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datos!I281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56.103296703296699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datos!H282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datos!I282</f>
        <v>55.8</v>
      </c>
      <c r="O477" s="249">
        <f>(O478-O476)/(N478-N476)*(N477-N476)+O476</f>
        <v>0.30329670329670355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datos!H283*100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datos!I283*100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datos!H281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datos!I281</f>
        <v>19.8</v>
      </c>
      <c r="O513" s="245">
        <f>(O514-O512)/(N514-N512)*(N513-N512)+O512</f>
        <v>7.3390191897654583E-2</v>
      </c>
      <c r="P513" s="245">
        <f>(P514-P512)/(N514-N512)*(N513-N512)+P512</f>
        <v>3.8916844349680173E-2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19.873390191897656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datos!H282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datos!I282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datos!H283*100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datos!I283*100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5" priority="16">
      <formula>M143&gt;P143</formula>
    </cfRule>
  </conditionalFormatting>
  <conditionalFormatting sqref="N97:N248">
    <cfRule type="cellIs" dxfId="34" priority="1" operator="lessThan">
      <formula>Z97</formula>
    </cfRule>
  </conditionalFormatting>
  <conditionalFormatting sqref="P97:P248">
    <cfRule type="expression" dxfId="33" priority="2">
      <formula>P97&gt;S97</formula>
    </cfRule>
  </conditionalFormatting>
  <hyperlinks>
    <hyperlink ref="BQ44" r:id="rId1" xr:uid="{00000000-0004-0000-11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3562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3562" r:id="rId4"/>
      </mc:Fallback>
    </mc:AlternateContent>
    <mc:AlternateContent xmlns:mc="http://schemas.openxmlformats.org/markup-compatibility/2006">
      <mc:Choice Requires="x14">
        <oleObject progId="Equation.3" shapeId="23563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3563" r:id="rId6"/>
      </mc:Fallback>
    </mc:AlternateContent>
    <mc:AlternateContent xmlns:mc="http://schemas.openxmlformats.org/markup-compatibility/2006">
      <mc:Choice Requires="x14">
        <oleObject progId="Equation.3" shapeId="2356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3565" r:id="rId8"/>
      </mc:Fallback>
    </mc:AlternateContent>
    <mc:AlternateContent xmlns:mc="http://schemas.openxmlformats.org/markup-compatibility/2006">
      <mc:Choice Requires="x14">
        <oleObject progId="Equation.3" shapeId="2356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3566" r:id="rId10"/>
      </mc:Fallback>
    </mc:AlternateContent>
    <mc:AlternateContent xmlns:mc="http://schemas.openxmlformats.org/markup-compatibility/2006">
      <mc:Choice Requires="x14">
        <oleObject progId="Equation.3" shapeId="2356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3567" r:id="rId12"/>
      </mc:Fallback>
    </mc:AlternateContent>
    <mc:AlternateContent xmlns:mc="http://schemas.openxmlformats.org/markup-compatibility/2006">
      <mc:Choice Requires="x14">
        <oleObject progId="Equation.3" shapeId="2356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3568" r:id="rId14"/>
      </mc:Fallback>
    </mc:AlternateContent>
    <mc:AlternateContent xmlns:mc="http://schemas.openxmlformats.org/markup-compatibility/2006">
      <mc:Choice Requires="x14">
        <oleObject progId="Equation.3" shapeId="2356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3569" r:id="rId16"/>
      </mc:Fallback>
    </mc:AlternateContent>
    <mc:AlternateContent xmlns:mc="http://schemas.openxmlformats.org/markup-compatibility/2006">
      <mc:Choice Requires="x14">
        <oleObject progId="Equation.3" shapeId="2357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3570" r:id="rId18"/>
      </mc:Fallback>
    </mc:AlternateContent>
    <mc:AlternateContent xmlns:mc="http://schemas.openxmlformats.org/markup-compatibility/2006">
      <mc:Choice Requires="x14">
        <oleObject progId="Equation.3" shapeId="2357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3573" r:id="rId19"/>
      </mc:Fallback>
    </mc:AlternateContent>
    <mc:AlternateContent xmlns:mc="http://schemas.openxmlformats.org/markup-compatibility/2006">
      <mc:Choice Requires="x14">
        <oleObject progId="Equation.3" shapeId="2357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3574" r:id="rId21"/>
      </mc:Fallback>
    </mc:AlternateContent>
    <mc:AlternateContent xmlns:mc="http://schemas.openxmlformats.org/markup-compatibility/2006">
      <mc:Choice Requires="x14">
        <oleObject progId="Equation.3" shapeId="23592" r:id="rId23">
          <objectPr defaultSize="0" autoPict="0" r:id="rId24">
            <anchor moveWithCells="1" sizeWithCells="1">
              <from>
                <xdr:col>6</xdr:col>
                <xdr:colOff>388620</xdr:colOff>
                <xdr:row>38</xdr:row>
                <xdr:rowOff>83820</xdr:rowOff>
              </from>
              <to>
                <xdr:col>9</xdr:col>
                <xdr:colOff>632460</xdr:colOff>
                <xdr:row>43</xdr:row>
                <xdr:rowOff>106680</xdr:rowOff>
              </to>
            </anchor>
          </objectPr>
        </oleObject>
      </mc:Choice>
      <mc:Fallback>
        <oleObject progId="Equation.3" shapeId="23592" r:id="rId23"/>
      </mc:Fallback>
    </mc:AlternateContent>
  </oleObjects>
  <tableParts count="1"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U558"/>
  <sheetViews>
    <sheetView topLeftCell="A4"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datos!G294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datos!C286</f>
        <v>N/A</v>
      </c>
      <c r="J5" s="569" t="str">
        <f>datos!C287</f>
        <v>N/A</v>
      </c>
      <c r="K5" s="569" t="str">
        <f>datos!C288</f>
        <v>N/A</v>
      </c>
      <c r="L5" s="569" t="str">
        <f>datos!C289</f>
        <v>N/A</v>
      </c>
      <c r="M5" s="569" t="str">
        <f>datos!C290</f>
        <v>N/A</v>
      </c>
      <c r="N5" s="569" t="str">
        <f>datos!C291</f>
        <v>N/A</v>
      </c>
      <c r="O5" s="569" t="str">
        <f>datos!C292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datos!C286</f>
        <v>N/A</v>
      </c>
      <c r="J6" s="569" t="str">
        <f>datos!C287</f>
        <v>N/A</v>
      </c>
      <c r="K6" s="569" t="str">
        <f>datos!C288</f>
        <v>N/A</v>
      </c>
      <c r="L6" s="569" t="str">
        <f>datos!C289</f>
        <v>N/A</v>
      </c>
      <c r="M6" s="569" t="str">
        <f>datos!C290</f>
        <v>N/A</v>
      </c>
      <c r="N6" s="569" t="str">
        <f>datos!C291</f>
        <v>N/A</v>
      </c>
      <c r="O6" s="569" t="str">
        <f>datos!C292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60.015748031496059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datos!E294</f>
        <v>0</v>
      </c>
      <c r="D7" s="118" t="str">
        <f>datos!F294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20.2044</v>
      </c>
      <c r="AD7" s="192">
        <f>C31</f>
        <v>59.316483516483522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20.157</v>
      </c>
      <c r="AD8" s="366">
        <f>AVERAGE(AD6:AD7)</f>
        <v>59.666115773989787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1.1830616083741727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20.2044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60.015748031496059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20.157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20.157</v>
      </c>
      <c r="BB15" s="181"/>
      <c r="BC15" s="175"/>
      <c r="BD15" s="378"/>
      <c r="BE15" s="366" t="s">
        <v>492</v>
      </c>
      <c r="BF15" s="477">
        <f>MIN(AD6:AD7)</f>
        <v>59.316483516483522</v>
      </c>
      <c r="BG15" s="368" t="s">
        <v>42</v>
      </c>
      <c r="BH15" s="478">
        <f>AVERAGE(BF14:BF15)</f>
        <v>59.666115773989787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datos!H294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406.30464899999998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293.30699999999996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2.6027355384231798E-5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406.30464899999998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293.30699999999996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293.30699999999996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86028.996248999974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1.0039907302634401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2362.0107086131443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datos!I294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datos!D293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datos!C296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1.9350968967986971E-2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0.14273677141795527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datos!C297</f>
        <v>0</v>
      </c>
      <c r="J25" s="78">
        <f>datos!D297</f>
        <v>0</v>
      </c>
      <c r="K25" s="78">
        <f>datos!E297</f>
        <v>0</v>
      </c>
      <c r="L25" s="78">
        <f>datos!F297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20.2044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datos!C298</f>
        <v>0</v>
      </c>
      <c r="J26" s="78">
        <f>datos!D298</f>
        <v>0</v>
      </c>
      <c r="K26" s="78">
        <f>datos!E298</f>
        <v>0</v>
      </c>
      <c r="L26" s="78">
        <f>datos!F298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datos!C299</f>
        <v>0</v>
      </c>
      <c r="J27" s="78">
        <f>datos!D299</f>
        <v>0</v>
      </c>
      <c r="K27" s="78">
        <f>datos!E299</f>
        <v>0</v>
      </c>
      <c r="L27" s="78">
        <f>datos!F299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datos!I294</f>
        <v>NI-MCPPT-06</v>
      </c>
      <c r="D28" s="758"/>
      <c r="E28" s="759"/>
      <c r="I28" s="78">
        <f>datos!C300</f>
        <v>0</v>
      </c>
      <c r="J28" s="78">
        <f>datos!D300</f>
        <v>0</v>
      </c>
      <c r="K28" s="78">
        <f>datos!E300</f>
        <v>0</v>
      </c>
      <c r="L28" s="78">
        <f>datos!F300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0.21285627388764777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0.66611344322731914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6.6611344322731912E-3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60.015748031496059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59.316483516483522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0.99961292742857888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-0.14228961466721615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datos!I294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M35" s="174">
        <f>AVERAGE(M25:M28)</f>
        <v>0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0.21285627388764777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0.99961292742857888</v>
      </c>
      <c r="AS37" s="368"/>
      <c r="AT37" s="181"/>
      <c r="AU37" s="175"/>
      <c r="AV37" s="378"/>
      <c r="AW37" s="366" t="s">
        <v>288</v>
      </c>
      <c r="AX37" s="405">
        <f>BH29</f>
        <v>6.6611344322731912E-3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2.6027355384231798E-5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293.30699999999996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0.59666115773989792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1.4135038996718339E-2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1.0039907302634401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2362.0107086131443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0.99961292742857888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1.0039907302634401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2362.0107086131443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293.30699999999996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1.4135038996718339E-2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1.4135038996718339E-2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1.997993274387482E-4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1.1830616083741728E-5</v>
      </c>
      <c r="AT46" s="181"/>
      <c r="AU46" s="175"/>
      <c r="AV46" s="378"/>
      <c r="AW46" s="723">
        <f>SQRT((AS46*AX35)^2+(AS49*AX36)^2+(AS52*AX37)^2+(AX38^2)+(AS57*BR41)^2)</f>
        <v>9.2552571545872152E-4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1.1830616083741727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4.0224094684721875E-3</v>
      </c>
      <c r="AT49" s="181"/>
      <c r="AU49" s="175"/>
      <c r="AV49" s="366">
        <f>AW46*2</f>
        <v>1.851051430917443E-3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1.1830616083741727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9.2552571545872152E-4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-1.1830616083741727E-2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1.851051430917443E-3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-0.14228961466721615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tblBD_PatronMasa131518[[#This Row],[Masa nominal mN                              (g)]]+(tblBD_PatronMasa131518[[#This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tblBD_PatronMasa131518[[#This Row],[Masa nominal mN                              (g)]]+(tblBD_PatronMasa131518[[#This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tblBD_PatronMasa131518[[#This Row],[Masa nominal mN                              (g)]]+(tblBD_PatronMasa131518[[#This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tblBD_PatronMasa131518[[#This Row],[Masa nominal mN                              (g)]]+(tblBD_PatronMasa131518[[#This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tblBD_PatronMasa131518[[#This Row],[Masa nominal mN                              (g)]]+(tblBD_PatronMasa131518[[#This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tblBD_PatronMasa131518[[#This Row],[Masa nominal mN                              (g)]]+(tblBD_PatronMasa131518[[#This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tblBD_PatronMasa131518[[#This Row],[Masa nominal mN                              (g)]]+(tblBD_PatronMasa131518[[#This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tblBD_PatronMasa131518[[#This Row],[Masa nominal mN                              (g)]]+(tblBD_PatronMasa131518[[#This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tblBD_PatronMasa131518[[#This Row],[Masa nominal mN                              (g)]]+(tblBD_PatronMasa131518[[#This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tblBD_PatronMasa131518[[#This Row],[Masa nominal mN                              (g)]]+(tblBD_PatronMasa131518[[#This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tblBD_PatronMasa131518[[#This Row],[Masa nominal mN                              (g)]]+(tblBD_PatronMasa131518[[#This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tblBD_PatronMasa131518[[#This Row],[Masa nominal mN                              (g)]]+(tblBD_PatronMasa131518[[#This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tblBD_PatronMasa131518[[#This Row],[Masa nominal mN                              (g)]]+(tblBD_PatronMasa131518[[#This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tblBD_PatronMasa131518[[#This Row],[Masa nominal mN                              (g)]]+(tblBD_PatronMasa131518[[#This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tblBD_PatronMasa131518[[#This Row],[Masa nominal mN                              (g)]]+(tblBD_PatronMasa131518[[#This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tblBD_PatronMasa131518[[#This Row],[Masa nominal mN                              (g)]]+(tblBD_PatronMasa131518[[#This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tblBD_PatronMasa131518[[#This Row],[Masa nominal mN                              (g)]]+(tblBD_PatronMasa131518[[#This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tblBD_PatronMasa131518[[#This Row],[Masa nominal mN                              (g)]]+(tblBD_PatronMasa131518[[#This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tblBD_PatronMasa131518[[#This Row],[Masa nominal mN                              (g)]]+(tblBD_PatronMasa131518[[#This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tblBD_PatronMasa131518[[#This Row],[Masa nominal mN                              (g)]]+(tblBD_PatronMasa131518[[#This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tblBD_PatronMasa131518[[#This Row],[Masa nominal mN                              (g)]]+(tblBD_PatronMasa131518[[#This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tblBD_PatronMasa131518[[#This Row],[Masa nominal mN                              (g)]]+(tblBD_PatronMasa131518[[#This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tblBD_PatronMasa131518[[#This Row],[Masa nominal mN                              (g)]]+(tblBD_PatronMasa131518[[#This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tblBD_PatronMasa131518[[#This Row],[Masa nominal mN                              (g)]]+(tblBD_PatronMasa131518[[#This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tblBD_PatronMasa131518[[#This Row],[Masa nominal mN                              (g)]]+(tblBD_PatronMasa131518[[#This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tblBD_PatronMasa131518[[#This Row],[Masa nominal mN                              (g)]]+(tblBD_PatronMasa131518[[#This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tblBD_PatronMasa131518[[#This Row],[Masa nominal mN                              (g)]]+(tblBD_PatronMasa131518[[#This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tblBD_PatronMasa131518[[#This Row],[Masa nominal mN                              (g)]]+(tblBD_PatronMasa131518[[#This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tblBD_PatronMasa131518[[#This Row],[Masa nominal mN                              (g)]]+(tblBD_PatronMasa131518[[#This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tblBD_PatronMasa131518[[#This Row],[Masa nominal mN                              (g)]]+(tblBD_PatronMasa131518[[#This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tblBD_PatronMasa131518[[#This Row],[Masa nominal mN                              (g)]]+(tblBD_PatronMasa131518[[#This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tblBD_PatronMasa131518[[#This Row],[Masa nominal mN                              (g)]]+(tblBD_PatronMasa131518[[#This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tblBD_PatronMasa131518[[#This Row],[Masa nominal mN                              (g)]]+(tblBD_PatronMasa131518[[#This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tblBD_PatronMasa131518[[#This Row],[Masa nominal mN                              (g)]]+(tblBD_PatronMasa131518[[#This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tblBD_PatronMasa131518[[#This Row],[Masa nominal mN                              (g)]]+(tblBD_PatronMasa131518[[#This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tblBD_PatronMasa131518[[#This Row],[Masa nominal mN                              (g)]]+(tblBD_PatronMasa131518[[#This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tblBD_PatronMasa131518[[#This Row],[Masa nominal mN                              (g)]]+(tblBD_PatronMasa131518[[#This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tblBD_PatronMasa131518[[#This Row],[Masa nominal mN                              (g)]]+(tblBD_PatronMasa131518[[#This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tblBD_PatronMasa131518[[#This Row],[Masa nominal mN                              (g)]]+(tblBD_PatronMasa131518[[#This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tblBD_PatronMasa131518[[#This Row],[Masa nominal mN                              (g)]]+(tblBD_PatronMasa131518[[#This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tblBD_PatronMasa131518[[#This Row],[Masa nominal mN                              (g)]]+(tblBD_PatronMasa131518[[#This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tblBD_PatronMasa131518[[#This Row],[Masa nominal mN                              (g)]]+(tblBD_PatronMasa131518[[#This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tblBD_PatronMasa131518[[#This Row],[Masa nominal mN                              (g)]]+(tblBD_PatronMasa131518[[#This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tblBD_PatronMasa131518[[#This Row],[Masa nominal mN                              (g)]]+(tblBD_PatronMasa131518[[#This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tblBD_PatronMasa131518[[#This Row],[Masa nominal mN                              (g)]]+(tblBD_PatronMasa131518[[#This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tblBD_PatronMasa131518[[#This Row],[Masa nominal mN                              (g)]]+(tblBD_PatronMasa131518[[#This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tblBD_PatronMasa131518[[#This Row],[Masa nominal mN                              (g)]]+(tblBD_PatronMasa131518[[#This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tblBD_PatronMasa131518[[#This Row],[Masa nominal mN                              (g)]]+(tblBD_PatronMasa131518[[#This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tblBD_PatronMasa131518[[#This Row],[Masa nominal mN                              (g)]]+(tblBD_PatronMasa131518[[#This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tblBD_PatronMasa131518[[#This Row],[Masa nominal mN                              (g)]]+(tblBD_PatronMasa131518[[#This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tblBD_PatronMasa131518[[#This Row],[Masa nominal mN                              (g)]]+(tblBD_PatronMasa131518[[#This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tblBD_PatronMasa131518[[#This Row],[Masa nominal mN                              (g)]]+(tblBD_PatronMasa131518[[#This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tblBD_PatronMasa131518[[#This Row],[Masa nominal mN                              (g)]]+(tblBD_PatronMasa131518[[#This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tblBD_PatronMasa131518[[#This Row],[Masa nominal mN                              (g)]]+(tblBD_PatronMasa131518[[#This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tblBD_PatronMasa131518[[#This Row],[Masa nominal mN                              (g)]]+(tblBD_PatronMasa131518[[#This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tblBD_PatronMasa131518[[#This Row],[Masa nominal mN                              (g)]]+(tblBD_PatronMasa131518[[#This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datos!H294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datos!I294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datos!H298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datos!I298</f>
        <v>20.3</v>
      </c>
      <c r="O352" s="245">
        <f>(O353-O351)/(N353-N351)*(N352-N351)+O351</f>
        <v>0.12194331983805669</v>
      </c>
      <c r="P352" s="245">
        <f>(P353-P351)/(N353-N351)*(N352-N351)+P351</f>
        <v>0.25548582995951419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20.421943319838057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63.864602683178532</v>
      </c>
      <c r="S360" s="246">
        <f>N370+O370</f>
        <v>63.128482972136226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4</v>
      </c>
      <c r="N369" s="243">
        <f>VLOOKUP(N370,M375:P379,1,TRUE)</f>
        <v>56.71</v>
      </c>
      <c r="O369" s="248">
        <f>VLOOKUP(N369,M375:P379,2,FALSE)</f>
        <v>3.8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datos!H299</f>
        <v>59.9</v>
      </c>
      <c r="J370" s="249">
        <f>(J371-J369)/(I371-I369)*(I370-I369)+J369</f>
        <v>3.9646026831785344</v>
      </c>
      <c r="K370" s="249">
        <f>(K371-K369)/(I371-I369)*(I370-I369)+K369</f>
        <v>0.6</v>
      </c>
      <c r="L370" s="242"/>
      <c r="M370" s="243"/>
      <c r="N370" s="32">
        <f>datos!I299</f>
        <v>59.2</v>
      </c>
      <c r="O370" s="249">
        <f>(O371-O369)/(N371-N369)*(N370-N369)+O369</f>
        <v>3.9284829721362229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5</v>
      </c>
      <c r="N371" s="243">
        <f>VLOOKUP(M369+1,L375:O379,2,FALSE)</f>
        <v>66.400000000000006</v>
      </c>
      <c r="O371" s="248">
        <f>VLOOKUP(N371,M375:P379,2,FALSE)</f>
        <v>4.3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datos!H300*100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datos!I300*100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datos!H298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datos!I298</f>
        <v>20.3</v>
      </c>
      <c r="O406" s="245">
        <f>(O407-O405)/(N407-N405)*(N406-N405)+O405</f>
        <v>-0.10120000000000001</v>
      </c>
      <c r="P406" s="245">
        <f>(P407-P405)/(N407-N405)*(N406-N405)+P405</f>
        <v>0.25059999999999999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20.198800000000002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61.681102362204726</v>
      </c>
      <c r="S414" s="246">
        <f>N424+O424</f>
        <v>61.008241758241759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datos!H299</f>
        <v>59.9</v>
      </c>
      <c r="J424" s="249">
        <f>(J425-J423)/(I425-I423)*(I424-I423)+J423</f>
        <v>1.7811023622047246</v>
      </c>
      <c r="K424" s="249">
        <f>(K425-K423)/(I425-I423)*(I424-I423)+K423</f>
        <v>1.3</v>
      </c>
      <c r="L424" s="242"/>
      <c r="M424" s="243"/>
      <c r="N424" s="32">
        <f>datos!I299</f>
        <v>59.2</v>
      </c>
      <c r="O424" s="249">
        <f>(O425-O423)/(N425-N423)*(N424-N423)+O423</f>
        <v>1.8082417582417583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datos!H300*100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datos!I300*100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datos!H298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datos!I298</f>
        <v>20.3</v>
      </c>
      <c r="O459" s="245">
        <f>(O460-O458)/(N460-N458)*(N459-N458)+O458</f>
        <v>-9.5600000000000046E-2</v>
      </c>
      <c r="P459" s="245">
        <f>(P460-P458)/(N460-N458)*(N459-N458)+P458</f>
        <v>0.26960000000000001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20.2044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60.015748031496059</v>
      </c>
      <c r="S467" s="246">
        <f>N477+O477</f>
        <v>59.316483516483522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datos!H299</f>
        <v>59.9</v>
      </c>
      <c r="J477" s="249">
        <f>(J478-J476)/(I478-I476)*(I477-I476)+J476</f>
        <v>0.11574803149606294</v>
      </c>
      <c r="K477" s="249">
        <f>(K478-K476)/(I478-I476)*(I477-I476)+K476</f>
        <v>1.3</v>
      </c>
      <c r="L477" s="242"/>
      <c r="M477" s="243"/>
      <c r="N477" s="32">
        <f>datos!I299</f>
        <v>59.2</v>
      </c>
      <c r="O477" s="249">
        <f>(O478-O476)/(N478-N476)*(N477-N476)+O476</f>
        <v>0.1164835164835164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datos!H300*100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datos!I300*100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datos!H298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datos!I298</f>
        <v>20.3</v>
      </c>
      <c r="O513" s="245">
        <f>(O514-O512)/(N514-N512)*(N513-N512)+O512</f>
        <v>0.10432712215320909</v>
      </c>
      <c r="P513" s="245">
        <f>(P514-P512)/(N514-N512)*(N513-N512)+P512</f>
        <v>3.9022774327122152E-2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20.404327122153209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63.864602683178532</v>
      </c>
      <c r="S521" s="246">
        <f>N531+O531</f>
        <v>63.128482972136226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4</v>
      </c>
      <c r="N530" s="243">
        <f>VLOOKUP(N531,M536:P540,1,TRUE)</f>
        <v>56.71</v>
      </c>
      <c r="O530" s="248">
        <f>VLOOKUP(N530,M536:P540,2,FALSE)</f>
        <v>3.8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datos!H299</f>
        <v>59.9</v>
      </c>
      <c r="J531" s="249">
        <f>(J532-J530)/(I532-I530)*(I531-I530)+J530</f>
        <v>3.9646026831785344</v>
      </c>
      <c r="K531" s="249">
        <f>(K532-K530)/(I532-I530)*(I531-I530)+K530</f>
        <v>0.6</v>
      </c>
      <c r="L531" s="242"/>
      <c r="M531" s="243"/>
      <c r="N531" s="32">
        <f>datos!I299</f>
        <v>59.2</v>
      </c>
      <c r="O531" s="249">
        <f>(O532-O530)/(N532-N530)*(N531-N530)+O530</f>
        <v>3.9284829721362229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5</v>
      </c>
      <c r="N532" s="243">
        <f>VLOOKUP(M530+1,L536:O540,2,FALSE)</f>
        <v>66.400000000000006</v>
      </c>
      <c r="O532" s="248">
        <f>VLOOKUP(N532,M536:P540,2,FALSE)</f>
        <v>4.3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datos!H300*100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datos!I300*100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32" priority="16">
      <formula>M143&gt;P143</formula>
    </cfRule>
  </conditionalFormatting>
  <conditionalFormatting sqref="N97:N248">
    <cfRule type="cellIs" dxfId="31" priority="1" operator="lessThan">
      <formula>Z97</formula>
    </cfRule>
  </conditionalFormatting>
  <conditionalFormatting sqref="P97:P248">
    <cfRule type="expression" dxfId="30" priority="2">
      <formula>P97&gt;S97</formula>
    </cfRule>
  </conditionalFormatting>
  <hyperlinks>
    <hyperlink ref="BQ44" r:id="rId1" xr:uid="{00000000-0004-0000-12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4586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4586" r:id="rId4"/>
      </mc:Fallback>
    </mc:AlternateContent>
    <mc:AlternateContent xmlns:mc="http://schemas.openxmlformats.org/markup-compatibility/2006">
      <mc:Choice Requires="x14">
        <oleObject progId="Equation.3" shapeId="24587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4587" r:id="rId6"/>
      </mc:Fallback>
    </mc:AlternateContent>
    <mc:AlternateContent xmlns:mc="http://schemas.openxmlformats.org/markup-compatibility/2006">
      <mc:Choice Requires="x14">
        <oleObject progId="Equation.3" shapeId="2458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4589" r:id="rId8"/>
      </mc:Fallback>
    </mc:AlternateContent>
    <mc:AlternateContent xmlns:mc="http://schemas.openxmlformats.org/markup-compatibility/2006">
      <mc:Choice Requires="x14">
        <oleObject progId="Equation.3" shapeId="2459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4590" r:id="rId10"/>
      </mc:Fallback>
    </mc:AlternateContent>
    <mc:AlternateContent xmlns:mc="http://schemas.openxmlformats.org/markup-compatibility/2006">
      <mc:Choice Requires="x14">
        <oleObject progId="Equation.3" shapeId="2459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4591" r:id="rId12"/>
      </mc:Fallback>
    </mc:AlternateContent>
    <mc:AlternateContent xmlns:mc="http://schemas.openxmlformats.org/markup-compatibility/2006">
      <mc:Choice Requires="x14">
        <oleObject progId="Equation.3" shapeId="2459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4592" r:id="rId14"/>
      </mc:Fallback>
    </mc:AlternateContent>
    <mc:AlternateContent xmlns:mc="http://schemas.openxmlformats.org/markup-compatibility/2006">
      <mc:Choice Requires="x14">
        <oleObject progId="Equation.3" shapeId="2459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4593" r:id="rId16"/>
      </mc:Fallback>
    </mc:AlternateContent>
    <mc:AlternateContent xmlns:mc="http://schemas.openxmlformats.org/markup-compatibility/2006">
      <mc:Choice Requires="x14">
        <oleObject progId="Equation.3" shapeId="2459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4594" r:id="rId18"/>
      </mc:Fallback>
    </mc:AlternateContent>
    <mc:AlternateContent xmlns:mc="http://schemas.openxmlformats.org/markup-compatibility/2006">
      <mc:Choice Requires="x14">
        <oleObject progId="Equation.3" shapeId="2459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4597" r:id="rId19"/>
      </mc:Fallback>
    </mc:AlternateContent>
    <mc:AlternateContent xmlns:mc="http://schemas.openxmlformats.org/markup-compatibility/2006">
      <mc:Choice Requires="x14">
        <oleObject progId="Equation.3" shapeId="2459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4598" r:id="rId21"/>
      </mc:Fallback>
    </mc:AlternateContent>
    <mc:AlternateContent xmlns:mc="http://schemas.openxmlformats.org/markup-compatibility/2006">
      <mc:Choice Requires="x14">
        <oleObject progId="Equation.3" shapeId="24616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236220</xdr:rowOff>
              </from>
              <to>
                <xdr:col>9</xdr:col>
                <xdr:colOff>601980</xdr:colOff>
                <xdr:row>43</xdr:row>
                <xdr:rowOff>259080</xdr:rowOff>
              </to>
            </anchor>
          </objectPr>
        </oleObject>
      </mc:Choice>
      <mc:Fallback>
        <oleObject progId="Equation.3" shapeId="24616" r:id="rId23"/>
      </mc:Fallback>
    </mc:AlternateContent>
  </oleObjects>
  <tableParts count="1">
    <tablePart r:id="rId2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U558"/>
  <sheetViews>
    <sheetView topLeftCell="H4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datos!G311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datos!C303</f>
        <v>N/A</v>
      </c>
      <c r="J5" s="569" t="str">
        <f>datos!C304</f>
        <v>N/A</v>
      </c>
      <c r="K5" s="569" t="str">
        <f>datos!C305</f>
        <v>N/A</v>
      </c>
      <c r="L5" s="569" t="str">
        <f>datos!C306</f>
        <v>N/A</v>
      </c>
      <c r="M5" s="569" t="str">
        <f>datos!C307</f>
        <v>N/A</v>
      </c>
      <c r="N5" s="569" t="str">
        <f>datos!C308</f>
        <v>N/A</v>
      </c>
      <c r="O5" s="569" t="str">
        <f>datos!C309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datos!C303</f>
        <v>N/A</v>
      </c>
      <c r="J6" s="569" t="str">
        <f>datos!C304</f>
        <v>N/A</v>
      </c>
      <c r="K6" s="569" t="str">
        <f>datos!C305</f>
        <v>N/A</v>
      </c>
      <c r="L6" s="569" t="str">
        <f>datos!C306</f>
        <v>N/A</v>
      </c>
      <c r="M6" s="569" t="str">
        <f>datos!C307</f>
        <v>N/A</v>
      </c>
      <c r="N6" s="569" t="str">
        <f>datos!C308</f>
        <v>N/A</v>
      </c>
      <c r="O6" s="569" t="str">
        <f>datos!C309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20.1096</v>
      </c>
      <c r="AD6" s="192">
        <f>C30</f>
        <v>61.574803149606296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datos!E311</f>
        <v>0</v>
      </c>
      <c r="D7" s="118" t="str">
        <f>datos!F311</f>
        <v>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20.1096</v>
      </c>
      <c r="AD7" s="192">
        <f>C31</f>
        <v>55.536263736263741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20.1096</v>
      </c>
      <c r="AD8" s="366">
        <f>AVERAGE(AD6:AD7)</f>
        <v>58.555533442935015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1.1833888170790066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0.42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20.1096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61.574803149606296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20.1096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20.1096</v>
      </c>
      <c r="AZ15" s="368" t="s">
        <v>7</v>
      </c>
      <c r="BA15" s="477">
        <f>AVERAGE(AY14:AY15)</f>
        <v>20.1096</v>
      </c>
      <c r="BB15" s="181"/>
      <c r="BC15" s="175"/>
      <c r="BD15" s="378"/>
      <c r="BE15" s="366" t="s">
        <v>492</v>
      </c>
      <c r="BF15" s="477">
        <f>MIN(AD6:AD7)</f>
        <v>55.536263736263741</v>
      </c>
      <c r="BG15" s="368" t="s">
        <v>42</v>
      </c>
      <c r="BH15" s="478">
        <f>AVERAGE(BF14:BF15)</f>
        <v>58.555533442935015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datos!H311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404.39601216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293.25959999999998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2.6034553975738144E-5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404.39601216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0.21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293.25959999999998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293.25959999999998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86001.19299215998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1.0039896614268096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2355.0923162820854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datos!I311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datos!D310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datos!C313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1.2326116961978784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20.1096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0.42</v>
      </c>
      <c r="I25" s="78">
        <f>datos!C314</f>
        <v>0</v>
      </c>
      <c r="J25" s="78">
        <f>datos!D314</f>
        <v>0</v>
      </c>
      <c r="K25" s="78">
        <f>datos!E314</f>
        <v>0</v>
      </c>
      <c r="L25" s="78">
        <f>datos!F314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20.1096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datos!C315</f>
        <v>0</v>
      </c>
      <c r="J26" s="78">
        <f>datos!D315</f>
        <v>0</v>
      </c>
      <c r="K26" s="78">
        <f>datos!E315</f>
        <v>0</v>
      </c>
      <c r="L26" s="78">
        <f>datos!F315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datos!C316</f>
        <v>0</v>
      </c>
      <c r="J27" s="78">
        <f>datos!D316</f>
        <v>0</v>
      </c>
      <c r="K27" s="78">
        <f>datos!E316</f>
        <v>0</v>
      </c>
      <c r="L27" s="78">
        <f>datos!F316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datos!I311</f>
        <v>NI-MCPPT-06</v>
      </c>
      <c r="D28" s="758"/>
      <c r="E28" s="759"/>
      <c r="I28" s="78">
        <f>datos!C317</f>
        <v>0</v>
      </c>
      <c r="J28" s="78">
        <f>datos!D317</f>
        <v>0</v>
      </c>
      <c r="K28" s="78">
        <f>datos!E317</f>
        <v>0</v>
      </c>
      <c r="L28" s="78">
        <f>datos!F317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0.21197484127446192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1.3937951524299201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1.3937951524299202E-2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61.574803149606296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55.536263736263741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0.99961344503410487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-0.14232896883118951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datos!I311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0.21197484127446192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0.99961344503410487</v>
      </c>
      <c r="AS37" s="368"/>
      <c r="AT37" s="181"/>
      <c r="AU37" s="175"/>
      <c r="AV37" s="378"/>
      <c r="AW37" s="366" t="s">
        <v>288</v>
      </c>
      <c r="AX37" s="405">
        <f>BH29</f>
        <v>1.3937951524299202E-2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2.6034553975738144E-5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293.25959999999998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0.58555533442935015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1.3831293502665171E-2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1.0039896614268096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2355.0923162820854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0.99961344503410487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1.0039896614268096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2355.0923162820854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293.25959999999998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1.3831293502665171E-2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1.3831293502665171E-2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1.9130467995686777E-4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1.1833888170790066E-5</v>
      </c>
      <c r="AT46" s="181"/>
      <c r="AU46" s="175"/>
      <c r="AV46" s="378"/>
      <c r="AW46" s="723">
        <f>SQRT((AS46*AX35)^2+(AS49*AX36)^2+(AS52*AX37)^2+(AX38^2)+(AS57*BR41)^2)</f>
        <v>9.3381007571785254E-4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1.1833888170790066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4.0235219780686221E-3</v>
      </c>
      <c r="AT49" s="181"/>
      <c r="AU49" s="175"/>
      <c r="AV49" s="366">
        <f>AW46*2</f>
        <v>1.8676201514357051E-3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1.1833888170790066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9.3381007571785254E-4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-1.1833888170790065E-2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1.8676201514357051E-3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-0.14232896883118951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tblBD_PatronMasa131519[[#This Row],[Masa nominal mN                              (g)]]+(tblBD_PatronMasa131519[[#This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tblBD_PatronMasa131519[[#This Row],[Masa nominal mN                              (g)]]+(tblBD_PatronMasa131519[[#This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tblBD_PatronMasa131519[[#This Row],[Masa nominal mN                              (g)]]+(tblBD_PatronMasa131519[[#This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tblBD_PatronMasa131519[[#This Row],[Masa nominal mN                              (g)]]+(tblBD_PatronMasa131519[[#This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tblBD_PatronMasa131519[[#This Row],[Masa nominal mN                              (g)]]+(tblBD_PatronMasa131519[[#This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tblBD_PatronMasa131519[[#This Row],[Masa nominal mN                              (g)]]+(tblBD_PatronMasa131519[[#This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tblBD_PatronMasa131519[[#This Row],[Masa nominal mN                              (g)]]+(tblBD_PatronMasa131519[[#This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tblBD_PatronMasa131519[[#This Row],[Masa nominal mN                              (g)]]+(tblBD_PatronMasa131519[[#This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tblBD_PatronMasa131519[[#This Row],[Masa nominal mN                              (g)]]+(tblBD_PatronMasa131519[[#This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tblBD_PatronMasa131519[[#This Row],[Masa nominal mN                              (g)]]+(tblBD_PatronMasa131519[[#This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tblBD_PatronMasa131519[[#This Row],[Masa nominal mN                              (g)]]+(tblBD_PatronMasa131519[[#This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tblBD_PatronMasa131519[[#This Row],[Masa nominal mN                              (g)]]+(tblBD_PatronMasa131519[[#This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tblBD_PatronMasa131519[[#This Row],[Masa nominal mN                              (g)]]+(tblBD_PatronMasa131519[[#This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tblBD_PatronMasa131519[[#This Row],[Masa nominal mN                              (g)]]+(tblBD_PatronMasa131519[[#This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tblBD_PatronMasa131519[[#This Row],[Masa nominal mN                              (g)]]+(tblBD_PatronMasa131519[[#This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tblBD_PatronMasa131519[[#This Row],[Masa nominal mN                              (g)]]+(tblBD_PatronMasa131519[[#This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tblBD_PatronMasa131519[[#This Row],[Masa nominal mN                              (g)]]+(tblBD_PatronMasa131519[[#This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tblBD_PatronMasa131519[[#This Row],[Masa nominal mN                              (g)]]+(tblBD_PatronMasa131519[[#This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tblBD_PatronMasa131519[[#This Row],[Masa nominal mN                              (g)]]+(tblBD_PatronMasa131519[[#This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tblBD_PatronMasa131519[[#This Row],[Masa nominal mN                              (g)]]+(tblBD_PatronMasa131519[[#This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tblBD_PatronMasa131519[[#This Row],[Masa nominal mN                              (g)]]+(tblBD_PatronMasa131519[[#This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tblBD_PatronMasa131519[[#This Row],[Masa nominal mN                              (g)]]+(tblBD_PatronMasa131519[[#This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tblBD_PatronMasa131519[[#This Row],[Masa nominal mN                              (g)]]+(tblBD_PatronMasa131519[[#This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tblBD_PatronMasa131519[[#This Row],[Masa nominal mN                              (g)]]+(tblBD_PatronMasa131519[[#This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tblBD_PatronMasa131519[[#This Row],[Masa nominal mN                              (g)]]+(tblBD_PatronMasa131519[[#This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tblBD_PatronMasa131519[[#This Row],[Masa nominal mN                              (g)]]+(tblBD_PatronMasa131519[[#This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tblBD_PatronMasa131519[[#This Row],[Masa nominal mN                              (g)]]+(tblBD_PatronMasa131519[[#This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tblBD_PatronMasa131519[[#This Row],[Masa nominal mN                              (g)]]+(tblBD_PatronMasa131519[[#This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tblBD_PatronMasa131519[[#This Row],[Masa nominal mN                              (g)]]+(tblBD_PatronMasa131519[[#This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tblBD_PatronMasa131519[[#This Row],[Masa nominal mN                              (g)]]+(tblBD_PatronMasa131519[[#This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tblBD_PatronMasa131519[[#This Row],[Masa nominal mN                              (g)]]+(tblBD_PatronMasa131519[[#This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tblBD_PatronMasa131519[[#This Row],[Masa nominal mN                              (g)]]+(tblBD_PatronMasa131519[[#This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tblBD_PatronMasa131519[[#This Row],[Masa nominal mN                              (g)]]+(tblBD_PatronMasa131519[[#This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tblBD_PatronMasa131519[[#This Row],[Masa nominal mN                              (g)]]+(tblBD_PatronMasa131519[[#This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tblBD_PatronMasa131519[[#This Row],[Masa nominal mN                              (g)]]+(tblBD_PatronMasa131519[[#This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tblBD_PatronMasa131519[[#This Row],[Masa nominal mN                              (g)]]+(tblBD_PatronMasa131519[[#This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tblBD_PatronMasa131519[[#This Row],[Masa nominal mN                              (g)]]+(tblBD_PatronMasa131519[[#This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tblBD_PatronMasa131519[[#This Row],[Masa nominal mN                              (g)]]+(tblBD_PatronMasa131519[[#This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tblBD_PatronMasa131519[[#This Row],[Masa nominal mN                              (g)]]+(tblBD_PatronMasa131519[[#This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tblBD_PatronMasa131519[[#This Row],[Masa nominal mN                              (g)]]+(tblBD_PatronMasa131519[[#This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tblBD_PatronMasa131519[[#This Row],[Masa nominal mN                              (g)]]+(tblBD_PatronMasa131519[[#This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tblBD_PatronMasa131519[[#This Row],[Masa nominal mN                              (g)]]+(tblBD_PatronMasa131519[[#This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tblBD_PatronMasa131519[[#This Row],[Masa nominal mN                              (g)]]+(tblBD_PatronMasa131519[[#This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tblBD_PatronMasa131519[[#This Row],[Masa nominal mN                              (g)]]+(tblBD_PatronMasa131519[[#This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tblBD_PatronMasa131519[[#This Row],[Masa nominal mN                              (g)]]+(tblBD_PatronMasa131519[[#This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tblBD_PatronMasa131519[[#This Row],[Masa nominal mN                              (g)]]+(tblBD_PatronMasa131519[[#This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tblBD_PatronMasa131519[[#This Row],[Masa nominal mN                              (g)]]+(tblBD_PatronMasa131519[[#This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tblBD_PatronMasa131519[[#This Row],[Masa nominal mN                              (g)]]+(tblBD_PatronMasa131519[[#This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tblBD_PatronMasa131519[[#This Row],[Masa nominal mN                              (g)]]+(tblBD_PatronMasa131519[[#This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tblBD_PatronMasa131519[[#This Row],[Masa nominal mN                              (g)]]+(tblBD_PatronMasa131519[[#This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tblBD_PatronMasa131519[[#This Row],[Masa nominal mN                              (g)]]+(tblBD_PatronMasa131519[[#This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tblBD_PatronMasa131519[[#This Row],[Masa nominal mN                              (g)]]+(tblBD_PatronMasa131519[[#This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tblBD_PatronMasa131519[[#This Row],[Masa nominal mN                              (g)]]+(tblBD_PatronMasa131519[[#This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tblBD_PatronMasa131519[[#This Row],[Masa nominal mN                              (g)]]+(tblBD_PatronMasa131519[[#This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tblBD_PatronMasa131519[[#This Row],[Masa nominal mN                              (g)]]+(tblBD_PatronMasa131519[[#This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tblBD_PatronMasa131519[[#This Row],[Masa nominal mN                              (g)]]+(tblBD_PatronMasa131519[[#This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datos!H311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datos!I311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datos!H315</f>
        <v>20.2</v>
      </c>
      <c r="J352" s="245">
        <f>(J353-J351)/(I353-I351)*(I352-I351)+J351</f>
        <v>0.12153846153846154</v>
      </c>
      <c r="K352" s="245">
        <f>(K353-K351)/(I353-I351)*(I352-I351)+K351</f>
        <v>0.25538461538461538</v>
      </c>
      <c r="L352" s="242"/>
      <c r="M352" s="243"/>
      <c r="N352" s="32">
        <f>datos!I315</f>
        <v>20.2</v>
      </c>
      <c r="O352" s="245">
        <f>(O353-O351)/(N353-N351)*(N352-N351)+O351</f>
        <v>0.12153846153846154</v>
      </c>
      <c r="P352" s="245">
        <f>(P353-P351)/(N353-N351)*(N352-N351)+P351</f>
        <v>0.25538461538461538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20.321538461538459</v>
      </c>
      <c r="S359" s="246">
        <f>N352+O352</f>
        <v>20.321538461538459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65.44200206398348</v>
      </c>
      <c r="S360" s="246">
        <f>N370+O370</f>
        <v>58.501143583227446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4</v>
      </c>
      <c r="I369" s="243">
        <f>VLOOKUP(I370,H375:K379,1,TRUE)</f>
        <v>56.71</v>
      </c>
      <c r="J369" s="248">
        <f>VLOOKUP(I369,H375:J379,2,FALSE)</f>
        <v>3.8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datos!H316</f>
        <v>61.4</v>
      </c>
      <c r="J370" s="249">
        <f>(J371-J369)/(I371-I369)*(I370-I369)+J369</f>
        <v>4.0420020639834879</v>
      </c>
      <c r="K370" s="249">
        <f>(K371-K369)/(I371-I369)*(I370-I369)+K369</f>
        <v>0.6</v>
      </c>
      <c r="L370" s="242"/>
      <c r="M370" s="243"/>
      <c r="N370" s="32">
        <f>datos!I316</f>
        <v>55.2</v>
      </c>
      <c r="O370" s="249">
        <f>(O371-O369)/(N371-N369)*(N370-N369)+O369</f>
        <v>3.3011435832274465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5</v>
      </c>
      <c r="I371" s="243">
        <f>VLOOKUP(H369+1,G375:J379,2,FALSE)</f>
        <v>66.400000000000006</v>
      </c>
      <c r="J371" s="248">
        <f>VLOOKUP(I371,H375:K379,2,FALSE)</f>
        <v>4.3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datos!H317*100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datos!I317*100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datos!H315</f>
        <v>20.2</v>
      </c>
      <c r="J406" s="245">
        <f>(J407-J405)/(I407-I405)*(I406-I405)+J405</f>
        <v>-0.1008</v>
      </c>
      <c r="K406" s="245">
        <f>(K407-K405)/(I407-I405)*(I406-I405)+K405</f>
        <v>0.25040000000000001</v>
      </c>
      <c r="L406" s="242"/>
      <c r="M406" s="243"/>
      <c r="N406" s="32">
        <f>datos!I315</f>
        <v>20.2</v>
      </c>
      <c r="O406" s="245">
        <f>(O407-O405)/(N407-N405)*(N406-N405)+O405</f>
        <v>-0.1008</v>
      </c>
      <c r="P406" s="245">
        <f>(P407-P405)/(N407-N405)*(N406-N405)+P405</f>
        <v>0.25040000000000001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20.0992</v>
      </c>
      <c r="S413" s="246">
        <f>N406+O406</f>
        <v>20.0992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63.110236220472437</v>
      </c>
      <c r="S414" s="246">
        <f>N424+O424</f>
        <v>57.118131868131869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2</v>
      </c>
      <c r="I423" s="243">
        <f>VLOOKUP(I424,H429:K433,1,TRUE)</f>
        <v>59.5</v>
      </c>
      <c r="J423" s="248">
        <f>VLOOKUP(I423,H429:J433,2,FALSE)</f>
        <v>1.8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datos!H316</f>
        <v>61.4</v>
      </c>
      <c r="J424" s="249">
        <f>(J425-J423)/(I425-I423)*(I424-I423)+J423</f>
        <v>1.7102362204724411</v>
      </c>
      <c r="K424" s="249">
        <f>(K425-K423)/(I425-I423)*(I424-I423)+K423</f>
        <v>1.3</v>
      </c>
      <c r="L424" s="242"/>
      <c r="M424" s="243"/>
      <c r="N424" s="32">
        <f>datos!I316</f>
        <v>55.2</v>
      </c>
      <c r="O424" s="249">
        <f>(O425-O423)/(N425-N423)*(N424-N423)+O423</f>
        <v>1.918131868131868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3</v>
      </c>
      <c r="I425" s="243">
        <f>VLOOKUP(H423+1,G429:J433,2,FALSE)</f>
        <v>84.9</v>
      </c>
      <c r="J425" s="248">
        <f>VLOOKUP(I425,H429:K433,2,FALSE)</f>
        <v>0.6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datos!H317*100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datos!I317*100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datos!H315</f>
        <v>20.2</v>
      </c>
      <c r="J459" s="245">
        <f>(J460-J458)/(I460-I458)*(I459-I458)+J458</f>
        <v>-9.0399999999999966E-2</v>
      </c>
      <c r="K459" s="245">
        <f>(K460-K458)/(I460-I458)*(I459-I458)+K458</f>
        <v>0.26639999999999997</v>
      </c>
      <c r="L459" s="242"/>
      <c r="M459" s="243"/>
      <c r="N459" s="32">
        <f>datos!I315</f>
        <v>20.2</v>
      </c>
      <c r="O459" s="245">
        <f>(O460-O458)/(N460-N458)*(N459-N458)+O458</f>
        <v>-9.0399999999999966E-2</v>
      </c>
      <c r="P459" s="245">
        <f>(P460-P458)/(N460-N458)*(N459-N458)+P458</f>
        <v>0.26639999999999997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20.1096</v>
      </c>
      <c r="S466" s="246">
        <f>N459+O459</f>
        <v>20.1096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61.574803149606296</v>
      </c>
      <c r="S467" s="246">
        <f>N477+O477</f>
        <v>55.536263736263741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2</v>
      </c>
      <c r="I476" s="243">
        <f>VLOOKUP(I477,H482:K486,1,TRUE)</f>
        <v>59.5</v>
      </c>
      <c r="J476" s="248">
        <f>VLOOKUP(I476,H482:J486,2,FALSE)</f>
        <v>0.1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datos!H316</f>
        <v>61.4</v>
      </c>
      <c r="J477" s="249">
        <f>(J478-J476)/(I478-I476)*(I477-I476)+J476</f>
        <v>0.17480314960629917</v>
      </c>
      <c r="K477" s="249">
        <f>(K478-K476)/(I478-I476)*(I477-I476)+K476</f>
        <v>1.3</v>
      </c>
      <c r="L477" s="242"/>
      <c r="M477" s="243"/>
      <c r="N477" s="32">
        <f>datos!I316</f>
        <v>55.2</v>
      </c>
      <c r="O477" s="249">
        <f>(O478-O476)/(N478-N476)*(N477-N476)+O476</f>
        <v>0.33626373626373618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3</v>
      </c>
      <c r="I478" s="243">
        <f>VLOOKUP(H476+1,G482:J486,2,FALSE)</f>
        <v>84.9</v>
      </c>
      <c r="J478" s="248">
        <f>VLOOKUP(I478,H482:K486,2,FALSE)</f>
        <v>1.1000000000000001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datos!H317*100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datos!I317*100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4</v>
      </c>
      <c r="I512" s="243">
        <f>VLOOKUP(I513,H518:J524,1,TRUE)</f>
        <v>20.190000000000001</v>
      </c>
      <c r="J512" s="244">
        <f>VLOOKUP(I512,H518:J524,2,FALSE)</f>
        <v>0.1</v>
      </c>
      <c r="K512" s="244">
        <f>VLOOKUP(I512,H518:J524,3,FALSE)</f>
        <v>3.9E-2</v>
      </c>
      <c r="L512" s="242"/>
      <c r="M512" s="31">
        <f>VLOOKUP(N512,M518:P524,4,FALSE)</f>
        <v>4</v>
      </c>
      <c r="N512" s="243">
        <f>VLOOKUP(N513,M518:P524,1,TRUE)</f>
        <v>20.190000000000001</v>
      </c>
      <c r="O512" s="244">
        <f>VLOOKUP(N512,M518:P524,2,FALSE)</f>
        <v>0.1</v>
      </c>
      <c r="P512" s="244">
        <f>VLOOKUP(N512,M518:P524,3,FALSE)</f>
        <v>3.9E-2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datos!H315</f>
        <v>20.2</v>
      </c>
      <c r="J513" s="245">
        <f>(J514-J512)/(I514-I512)*(I513-I512)+J512</f>
        <v>0.10039337474120076</v>
      </c>
      <c r="K513" s="245">
        <f>(K514-K512)/(I514-I512)*(I513-I512)+K512</f>
        <v>3.9002070393374742E-2</v>
      </c>
      <c r="L513" s="242"/>
      <c r="M513" s="243"/>
      <c r="N513" s="32">
        <f>datos!I315</f>
        <v>20.2</v>
      </c>
      <c r="O513" s="245">
        <f>(O514-O512)/(N514-N512)*(N513-N512)+O512</f>
        <v>0.10039337474120076</v>
      </c>
      <c r="P513" s="245">
        <f>(P514-P512)/(N514-N512)*(N513-N512)+P512</f>
        <v>3.9002070393374742E-2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5</v>
      </c>
      <c r="I514" s="243">
        <f>VLOOKUP(H512+1,G518:K524,2,FALSE)</f>
        <v>25.02</v>
      </c>
      <c r="J514" s="244">
        <f>VLOOKUP(I514,H518:K524,2,FALSE)</f>
        <v>0.28999999999999998</v>
      </c>
      <c r="K514" s="244">
        <f>VLOOKUP(I514,H518:K524,3,FALSE)</f>
        <v>0.04</v>
      </c>
      <c r="L514" s="242"/>
      <c r="M514" s="31">
        <f>M512+1</f>
        <v>5</v>
      </c>
      <c r="N514" s="243">
        <f>VLOOKUP(M512+1,L518:P524,2,FALSE)</f>
        <v>25.02</v>
      </c>
      <c r="O514" s="244">
        <f>VLOOKUP(N514,M518:P524,2,FALSE)</f>
        <v>0.28999999999999998</v>
      </c>
      <c r="P514" s="244">
        <f>VLOOKUP(N514,M518:P524,3,FALSE)</f>
        <v>0.04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20.300393374741201</v>
      </c>
      <c r="S520" s="246">
        <f>N513+O513</f>
        <v>20.300393374741201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65.44200206398348</v>
      </c>
      <c r="S521" s="246">
        <f>N531+O531</f>
        <v>58.501143583227446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4</v>
      </c>
      <c r="I530" s="243">
        <f>VLOOKUP(I531,H536:K540,1,TRUE)</f>
        <v>56.71</v>
      </c>
      <c r="J530" s="248">
        <f>VLOOKUP(I530,H536:J540,2,FALSE)</f>
        <v>3.8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datos!H316</f>
        <v>61.4</v>
      </c>
      <c r="J531" s="249">
        <f>(J532-J530)/(I532-I530)*(I531-I530)+J530</f>
        <v>4.0420020639834879</v>
      </c>
      <c r="K531" s="249">
        <f>(K532-K530)/(I532-I530)*(I531-I530)+K530</f>
        <v>0.6</v>
      </c>
      <c r="L531" s="242"/>
      <c r="M531" s="243"/>
      <c r="N531" s="32">
        <f>datos!I316</f>
        <v>55.2</v>
      </c>
      <c r="O531" s="249">
        <f>(O532-O530)/(N532-N530)*(N531-N530)+O530</f>
        <v>3.3011435832274465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5</v>
      </c>
      <c r="I532" s="243">
        <f>VLOOKUP(H530+1,G536:J540,2,FALSE)</f>
        <v>66.400000000000006</v>
      </c>
      <c r="J532" s="248">
        <f>VLOOKUP(I532,H536:K540,2,FALSE)</f>
        <v>4.3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datos!H317*100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datos!I317*100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9" priority="16">
      <formula>M143&gt;P143</formula>
    </cfRule>
  </conditionalFormatting>
  <conditionalFormatting sqref="N97:N248">
    <cfRule type="cellIs" dxfId="28" priority="1" operator="lessThan">
      <formula>Z97</formula>
    </cfRule>
  </conditionalFormatting>
  <conditionalFormatting sqref="P97:P248">
    <cfRule type="expression" dxfId="27" priority="2">
      <formula>P97&gt;S97</formula>
    </cfRule>
  </conditionalFormatting>
  <hyperlinks>
    <hyperlink ref="BQ44" r:id="rId1" xr:uid="{00000000-0004-0000-13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5610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5610" r:id="rId4"/>
      </mc:Fallback>
    </mc:AlternateContent>
    <mc:AlternateContent xmlns:mc="http://schemas.openxmlformats.org/markup-compatibility/2006">
      <mc:Choice Requires="x14">
        <oleObject progId="Equation.3" shapeId="25611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5611" r:id="rId6"/>
      </mc:Fallback>
    </mc:AlternateContent>
    <mc:AlternateContent xmlns:mc="http://schemas.openxmlformats.org/markup-compatibility/2006">
      <mc:Choice Requires="x14">
        <oleObject progId="Equation.3" shapeId="2561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5613" r:id="rId8"/>
      </mc:Fallback>
    </mc:AlternateContent>
    <mc:AlternateContent xmlns:mc="http://schemas.openxmlformats.org/markup-compatibility/2006">
      <mc:Choice Requires="x14">
        <oleObject progId="Equation.3" shapeId="2561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5614" r:id="rId10"/>
      </mc:Fallback>
    </mc:AlternateContent>
    <mc:AlternateContent xmlns:mc="http://schemas.openxmlformats.org/markup-compatibility/2006">
      <mc:Choice Requires="x14">
        <oleObject progId="Equation.3" shapeId="2561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5615" r:id="rId12"/>
      </mc:Fallback>
    </mc:AlternateContent>
    <mc:AlternateContent xmlns:mc="http://schemas.openxmlformats.org/markup-compatibility/2006">
      <mc:Choice Requires="x14">
        <oleObject progId="Equation.3" shapeId="2561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5616" r:id="rId14"/>
      </mc:Fallback>
    </mc:AlternateContent>
    <mc:AlternateContent xmlns:mc="http://schemas.openxmlformats.org/markup-compatibility/2006">
      <mc:Choice Requires="x14">
        <oleObject progId="Equation.3" shapeId="2561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5617" r:id="rId16"/>
      </mc:Fallback>
    </mc:AlternateContent>
    <mc:AlternateContent xmlns:mc="http://schemas.openxmlformats.org/markup-compatibility/2006">
      <mc:Choice Requires="x14">
        <oleObject progId="Equation.3" shapeId="2561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5618" r:id="rId18"/>
      </mc:Fallback>
    </mc:AlternateContent>
    <mc:AlternateContent xmlns:mc="http://schemas.openxmlformats.org/markup-compatibility/2006">
      <mc:Choice Requires="x14">
        <oleObject progId="Equation.3" shapeId="2562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5621" r:id="rId19"/>
      </mc:Fallback>
    </mc:AlternateContent>
    <mc:AlternateContent xmlns:mc="http://schemas.openxmlformats.org/markup-compatibility/2006">
      <mc:Choice Requires="x14">
        <oleObject progId="Equation.3" shapeId="2562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5622" r:id="rId21"/>
      </mc:Fallback>
    </mc:AlternateContent>
    <mc:AlternateContent xmlns:mc="http://schemas.openxmlformats.org/markup-compatibility/2006">
      <mc:Choice Requires="x14">
        <oleObject progId="Equation.3" shapeId="25640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198120</xdr:rowOff>
              </from>
              <to>
                <xdr:col>9</xdr:col>
                <xdr:colOff>571500</xdr:colOff>
                <xdr:row>43</xdr:row>
                <xdr:rowOff>220980</xdr:rowOff>
              </to>
            </anchor>
          </objectPr>
        </oleObject>
      </mc:Choice>
      <mc:Fallback>
        <oleObject progId="Equation.3" shapeId="25640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U559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datos!G328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datos!C320</f>
        <v>N/A</v>
      </c>
      <c r="J5" s="569" t="str">
        <f>datos!C321</f>
        <v>N/A</v>
      </c>
      <c r="K5" s="569" t="str">
        <f>datos!C322</f>
        <v>N/A</v>
      </c>
      <c r="L5" s="569" t="str">
        <f>datos!C323</f>
        <v>N/A</v>
      </c>
      <c r="M5" s="569" t="str">
        <f>datos!C324</f>
        <v>N/A</v>
      </c>
      <c r="N5" s="569" t="str">
        <f>datos!C325</f>
        <v>N/A</v>
      </c>
      <c r="O5" s="569" t="str">
        <f>datos!C326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datos!C320</f>
        <v>N/A</v>
      </c>
      <c r="J6" s="569" t="str">
        <f>datos!C321</f>
        <v>N/A</v>
      </c>
      <c r="K6" s="569" t="str">
        <f>datos!C322</f>
        <v>N/A</v>
      </c>
      <c r="L6" s="569" t="str">
        <f>datos!C323</f>
        <v>N/A</v>
      </c>
      <c r="M6" s="569" t="str">
        <f>datos!C324</f>
        <v>N/A</v>
      </c>
      <c r="N6" s="569" t="str">
        <f>datos!C325</f>
        <v>N/A</v>
      </c>
      <c r="O6" s="569" t="str">
        <f>datos!C326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19.920000000000002</v>
      </c>
      <c r="AD6" s="192">
        <f>C30</f>
        <v>51.850549450549451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datos!$E$328</f>
        <v>0</v>
      </c>
      <c r="D7" s="118" t="str">
        <f>datos!F328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19.719236641221375</v>
      </c>
      <c r="AD7" s="192">
        <f>C31</f>
        <v>51.850549450549451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19.819618320610687</v>
      </c>
      <c r="AD8" s="366">
        <f>AVERAGE(AD6:AD7)</f>
        <v>51.850549450549451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778" t="s">
        <v>272</v>
      </c>
      <c r="AY9" s="778"/>
      <c r="AZ9" s="778"/>
      <c r="BA9" s="289"/>
      <c r="BB9" s="181"/>
      <c r="BC9" s="175"/>
      <c r="BD9" s="378"/>
      <c r="BE9" s="778" t="s">
        <v>273</v>
      </c>
      <c r="BF9" s="778"/>
      <c r="BG9" s="778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1.185368000161432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19.920000000000002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51.850549450549451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19.819618320610687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19.719236641221375</v>
      </c>
      <c r="AZ15" s="368" t="s">
        <v>7</v>
      </c>
      <c r="BA15" s="477">
        <f>AVERAGE(AY14:AY15)</f>
        <v>19.819618320610687</v>
      </c>
      <c r="BB15" s="181"/>
      <c r="BC15" s="175"/>
      <c r="BD15" s="378"/>
      <c r="BE15" s="366" t="s">
        <v>492</v>
      </c>
      <c r="BF15" s="477">
        <f>MIN(AD6:AD7)</f>
        <v>51.850549450549451</v>
      </c>
      <c r="BG15" s="368" t="s">
        <v>42</v>
      </c>
      <c r="BH15" s="478">
        <f>AVERAGE(BF14:BF15)</f>
        <v>51.850549450549451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datos!H328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392.81727037468676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292.96961832061066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2.6078096003551503E-5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392.81727037468676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292.96961832061066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292.96961832061066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85831.197258924294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1.0039831773314098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2313.1521101725943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datos!I328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datos!D327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datos!$C$330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4.0980649004578755E-2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19.920000000000002</v>
      </c>
      <c r="D25" s="118" t="s">
        <v>120</v>
      </c>
      <c r="E25" s="138">
        <f>IF(I332="NI-MCPPT-01",MAX(K351:K353),IF(I332="NI-MCPPT-02",MAX(K405:K407),IF(I332="NI-MCPPT-06",MAX(K458:K460)," Error ")))</f>
        <v>0.42</v>
      </c>
      <c r="F25" s="191" t="s">
        <v>280</v>
      </c>
      <c r="G25" s="192">
        <f>AVERAGE(E25:E26)</f>
        <v>0.33999999999999997</v>
      </c>
      <c r="I25" s="78">
        <f>datos!C331</f>
        <v>0</v>
      </c>
      <c r="J25" s="78">
        <f>datos!D331</f>
        <v>0</v>
      </c>
      <c r="K25" s="78">
        <f>datos!E331</f>
        <v>0</v>
      </c>
      <c r="L25" s="78">
        <f>datos!F331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19.719236641221375</v>
      </c>
      <c r="D26" s="118" t="s">
        <v>120</v>
      </c>
      <c r="E26" s="138">
        <f>IF(I332="NI-MCPPT-01",MAX(P351:P353),IF(I332="NI-MCPPT-02",MAX(P405:P407),IF(I332="NI-MCPPT-06",MAX(P458:P460)," Error ")))</f>
        <v>0.26</v>
      </c>
      <c r="F26" s="474"/>
      <c r="I26" s="78">
        <f>datos!C332</f>
        <v>0</v>
      </c>
      <c r="J26" s="78">
        <f>datos!D332</f>
        <v>0</v>
      </c>
      <c r="K26" s="78">
        <f>datos!E332</f>
        <v>0</v>
      </c>
      <c r="L26" s="78">
        <f>datos!F332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datos!C333</f>
        <v>0</v>
      </c>
      <c r="J27" s="78">
        <f>datos!D333</f>
        <v>0</v>
      </c>
      <c r="K27" s="78">
        <f>datos!E333</f>
        <v>0</v>
      </c>
      <c r="L27" s="78">
        <f>datos!F333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datos!I328</f>
        <v>NI-MCPPT-06</v>
      </c>
      <c r="D28" s="758"/>
      <c r="E28" s="759"/>
      <c r="I28" s="78">
        <f>datos!C334</f>
        <v>0</v>
      </c>
      <c r="J28" s="78">
        <f>datos!D334</f>
        <v>0</v>
      </c>
      <c r="K28" s="78">
        <f>datos!E334</f>
        <v>0</v>
      </c>
      <c r="L28" s="78">
        <f>datos!F334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0.17723641535014695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51.850549450549451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51.850549450549451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0.99961624497595236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-0.14256700985640813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datos!I328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0.17723641535014695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0.99961624497595236</v>
      </c>
      <c r="AS37" s="368"/>
      <c r="AT37" s="181"/>
      <c r="AU37" s="175"/>
      <c r="AV37" s="378"/>
      <c r="AW37" s="366" t="s">
        <v>288</v>
      </c>
      <c r="AX37" s="405">
        <f>AD8</f>
        <v>51.850549450549451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2.6078096003551503E-5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292.96961832061066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0.51850549450549455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1.2029336408791957E-2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1.0039831773314098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2313.1521101725943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0.99961624497595236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1.0039831773314098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2313.1521101725943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292.96961832061066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1.2029336408791957E-2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1.2029336408791957E-2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1.4470493443588777E-4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1.1853680001614321E-5</v>
      </c>
      <c r="AT46" s="181"/>
      <c r="AU46" s="175"/>
      <c r="AV46" s="378"/>
      <c r="AW46" s="723">
        <f>SQRT((AS46*AX35)^2+(AS49*AX36)^2+(AS52*AX37)^2+(AX38^2)+(AS57*BR41)^2)</f>
        <v>0.6146203319877741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1.185368000161432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4.0302512005488686E-3</v>
      </c>
      <c r="AT49" s="181"/>
      <c r="AU49" s="175"/>
      <c r="AV49" s="366">
        <f>AW46*2</f>
        <v>1.2292406639755482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1.185368000161432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0.6146203319877741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-1.185368000161432E-2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1.2292406639755482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-0.14256700985640813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tblBD_PatronMasa131520[[#This Row],[Masa nominal mN                              (g)]]+(tblBD_PatronMasa131520[[#This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tblBD_PatronMasa131520[[#This Row],[Masa nominal mN                              (g)]]+(tblBD_PatronMasa131520[[#This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tblBD_PatronMasa131520[[#This Row],[Masa nominal mN                              (g)]]+(tblBD_PatronMasa131520[[#This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tblBD_PatronMasa131520[[#This Row],[Masa nominal mN                              (g)]]+(tblBD_PatronMasa131520[[#This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tblBD_PatronMasa131520[[#This Row],[Masa nominal mN                              (g)]]+(tblBD_PatronMasa131520[[#This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tblBD_PatronMasa131520[[#This Row],[Masa nominal mN                              (g)]]+(tblBD_PatronMasa131520[[#This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tblBD_PatronMasa131520[[#This Row],[Masa nominal mN                              (g)]]+(tblBD_PatronMasa131520[[#This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tblBD_PatronMasa131520[[#This Row],[Masa nominal mN                              (g)]]+(tblBD_PatronMasa131520[[#This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tblBD_PatronMasa131520[[#This Row],[Masa nominal mN                              (g)]]+(tblBD_PatronMasa131520[[#This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tblBD_PatronMasa131520[[#This Row],[Masa nominal mN                              (g)]]+(tblBD_PatronMasa131520[[#This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tblBD_PatronMasa131520[[#This Row],[Masa nominal mN                              (g)]]+(tblBD_PatronMasa131520[[#This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tblBD_PatronMasa131520[[#This Row],[Masa nominal mN                              (g)]]+(tblBD_PatronMasa131520[[#This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tblBD_PatronMasa131520[[#This Row],[Masa nominal mN                              (g)]]+(tblBD_PatronMasa131520[[#This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tblBD_PatronMasa131520[[#This Row],[Masa nominal mN                              (g)]]+(tblBD_PatronMasa131520[[#This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tblBD_PatronMasa131520[[#This Row],[Masa nominal mN                              (g)]]+(tblBD_PatronMasa131520[[#This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tblBD_PatronMasa131520[[#This Row],[Masa nominal mN                              (g)]]+(tblBD_PatronMasa131520[[#This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tblBD_PatronMasa131520[[#This Row],[Masa nominal mN                              (g)]]+(tblBD_PatronMasa131520[[#This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tblBD_PatronMasa131520[[#This Row],[Masa nominal mN                              (g)]]+(tblBD_PatronMasa131520[[#This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tblBD_PatronMasa131520[[#This Row],[Masa nominal mN                              (g)]]+(tblBD_PatronMasa131520[[#This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tblBD_PatronMasa131520[[#This Row],[Masa nominal mN                              (g)]]+(tblBD_PatronMasa131520[[#This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tblBD_PatronMasa131520[[#This Row],[Masa nominal mN                              (g)]]+(tblBD_PatronMasa131520[[#This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tblBD_PatronMasa131520[[#This Row],[Masa nominal mN                              (g)]]+(tblBD_PatronMasa131520[[#This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tblBD_PatronMasa131520[[#This Row],[Masa nominal mN                              (g)]]+(tblBD_PatronMasa131520[[#This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tblBD_PatronMasa131520[[#This Row],[Masa nominal mN                              (g)]]+(tblBD_PatronMasa131520[[#This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tblBD_PatronMasa131520[[#This Row],[Masa nominal mN                              (g)]]+(tblBD_PatronMasa131520[[#This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tblBD_PatronMasa131520[[#This Row],[Masa nominal mN                              (g)]]+(tblBD_PatronMasa131520[[#This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tblBD_PatronMasa131520[[#This Row],[Masa nominal mN                              (g)]]+(tblBD_PatronMasa131520[[#This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tblBD_PatronMasa131520[[#This Row],[Masa nominal mN                              (g)]]+(tblBD_PatronMasa131520[[#This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tblBD_PatronMasa131520[[#This Row],[Masa nominal mN                              (g)]]+(tblBD_PatronMasa131520[[#This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tblBD_PatronMasa131520[[#This Row],[Masa nominal mN                              (g)]]+(tblBD_PatronMasa131520[[#This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tblBD_PatronMasa131520[[#This Row],[Masa nominal mN                              (g)]]+(tblBD_PatronMasa131520[[#This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tblBD_PatronMasa131520[[#This Row],[Masa nominal mN                              (g)]]+(tblBD_PatronMasa131520[[#This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tblBD_PatronMasa131520[[#This Row],[Masa nominal mN                              (g)]]+(tblBD_PatronMasa131520[[#This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tblBD_PatronMasa131520[[#This Row],[Masa nominal mN                              (g)]]+(tblBD_PatronMasa131520[[#This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tblBD_PatronMasa131520[[#This Row],[Masa nominal mN                              (g)]]+(tblBD_PatronMasa131520[[#This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tblBD_PatronMasa131520[[#This Row],[Masa nominal mN                              (g)]]+(tblBD_PatronMasa131520[[#This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tblBD_PatronMasa131520[[#This Row],[Masa nominal mN                              (g)]]+(tblBD_PatronMasa131520[[#This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tblBD_PatronMasa131520[[#This Row],[Masa nominal mN                              (g)]]+(tblBD_PatronMasa131520[[#This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tblBD_PatronMasa131520[[#This Row],[Masa nominal mN                              (g)]]+(tblBD_PatronMasa131520[[#This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tblBD_PatronMasa131520[[#This Row],[Masa nominal mN                              (g)]]+(tblBD_PatronMasa131520[[#This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tblBD_PatronMasa131520[[#This Row],[Masa nominal mN                              (g)]]+(tblBD_PatronMasa131520[[#This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tblBD_PatronMasa131520[[#This Row],[Masa nominal mN                              (g)]]+(tblBD_PatronMasa131520[[#This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tblBD_PatronMasa131520[[#This Row],[Masa nominal mN                              (g)]]+(tblBD_PatronMasa131520[[#This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tblBD_PatronMasa131520[[#This Row],[Masa nominal mN                              (g)]]+(tblBD_PatronMasa131520[[#This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tblBD_PatronMasa131520[[#This Row],[Masa nominal mN                              (g)]]+(tblBD_PatronMasa131520[[#This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tblBD_PatronMasa131520[[#This Row],[Masa nominal mN                              (g)]]+(tblBD_PatronMasa131520[[#This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tblBD_PatronMasa131520[[#This Row],[Masa nominal mN                              (g)]]+(tblBD_PatronMasa131520[[#This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tblBD_PatronMasa131520[[#This Row],[Masa nominal mN                              (g)]]+(tblBD_PatronMasa131520[[#This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tblBD_PatronMasa131520[[#This Row],[Masa nominal mN                              (g)]]+(tblBD_PatronMasa131520[[#This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tblBD_PatronMasa131520[[#This Row],[Masa nominal mN                              (g)]]+(tblBD_PatronMasa131520[[#This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tblBD_PatronMasa131520[[#This Row],[Masa nominal mN                              (g)]]+(tblBD_PatronMasa131520[[#This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tblBD_PatronMasa131520[[#This Row],[Masa nominal mN                              (g)]]+(tblBD_PatronMasa131520[[#This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tblBD_PatronMasa131520[[#This Row],[Masa nominal mN                              (g)]]+(tblBD_PatronMasa131520[[#This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tblBD_PatronMasa131520[[#This Row],[Masa nominal mN                              (g)]]+(tblBD_PatronMasa131520[[#This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tblBD_PatronMasa131520[[#This Row],[Masa nominal mN                              (g)]]+(tblBD_PatronMasa131520[[#This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tblBD_PatronMasa131520[[#This Row],[Masa nominal mN                              (g)]]+(tblBD_PatronMasa131520[[#This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datos!H328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datos!I328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datos!$H$332</f>
        <v>20</v>
      </c>
      <c r="J352" s="245">
        <f>(J353-J351)/(I353-I351)*(I352-I351)+J351</f>
        <v>0.12072874493927126</v>
      </c>
      <c r="K352" s="245">
        <f>(K353-K351)/(I353-I351)*(I352-I351)+K351</f>
        <v>0.25518218623481781</v>
      </c>
      <c r="L352" s="242"/>
      <c r="M352" s="243"/>
      <c r="N352" s="32">
        <f>datos!$I$332</f>
        <v>19.8</v>
      </c>
      <c r="O352" s="245">
        <f>(O353-O351)/(N353-N351)*(N352-N351)+O351</f>
        <v>0.11991902834008097</v>
      </c>
      <c r="P352" s="245">
        <f>(P353-P351)/(N353-N351)*(N352-N351)+P351</f>
        <v>0.25497975708502024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416">
        <v>14.88</v>
      </c>
      <c r="I357" s="417">
        <v>0.1</v>
      </c>
      <c r="J357" s="418">
        <v>0.25</v>
      </c>
      <c r="K357" s="35">
        <v>1</v>
      </c>
      <c r="L357" s="35">
        <v>1</v>
      </c>
      <c r="M357" s="416">
        <v>14.88</v>
      </c>
      <c r="N357" s="417">
        <v>0.1</v>
      </c>
      <c r="O357" s="418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416">
        <v>24.76</v>
      </c>
      <c r="I358" s="417">
        <v>0.14000000000000001</v>
      </c>
      <c r="J358" s="418">
        <v>0.26</v>
      </c>
      <c r="K358" s="35">
        <v>2</v>
      </c>
      <c r="L358" s="35">
        <v>2</v>
      </c>
      <c r="M358" s="416">
        <v>24.76</v>
      </c>
      <c r="N358" s="417">
        <v>0.14000000000000001</v>
      </c>
      <c r="O358" s="418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416">
        <v>34.86</v>
      </c>
      <c r="I359" s="417">
        <v>0.02</v>
      </c>
      <c r="J359" s="418">
        <v>0.3</v>
      </c>
      <c r="K359" s="35">
        <v>3</v>
      </c>
      <c r="L359" s="35">
        <v>3</v>
      </c>
      <c r="M359" s="416">
        <v>34.86</v>
      </c>
      <c r="N359" s="417">
        <v>0.02</v>
      </c>
      <c r="O359" s="418">
        <v>0.3</v>
      </c>
      <c r="P359" s="35">
        <v>3</v>
      </c>
      <c r="Q359" s="242"/>
      <c r="R359" s="246">
        <f>I352+J352</f>
        <v>20.120728744939271</v>
      </c>
      <c r="S359" s="246">
        <f>N352+O352</f>
        <v>19.919919028340082</v>
      </c>
      <c r="T359" s="242"/>
      <c r="U359" s="242"/>
    </row>
    <row r="360" spans="7:21" x14ac:dyDescent="0.25">
      <c r="G360" s="35">
        <v>4</v>
      </c>
      <c r="H360" s="416">
        <v>44.7</v>
      </c>
      <c r="I360" s="419">
        <v>0</v>
      </c>
      <c r="J360" s="418">
        <v>0.25</v>
      </c>
      <c r="K360" s="35">
        <v>4</v>
      </c>
      <c r="L360" s="35">
        <v>4</v>
      </c>
      <c r="M360" s="416">
        <v>44.7</v>
      </c>
      <c r="N360" s="419">
        <v>0</v>
      </c>
      <c r="O360" s="418">
        <v>0.25</v>
      </c>
      <c r="P360" s="35">
        <v>4</v>
      </c>
      <c r="Q360" s="242"/>
      <c r="R360" s="246">
        <f>I370+J370</f>
        <v>53.312706480304954</v>
      </c>
      <c r="S360" s="246">
        <f>N370+O370</f>
        <v>59.299364675984748</v>
      </c>
      <c r="T360" s="242"/>
      <c r="U360" s="242"/>
    </row>
    <row r="361" spans="7:21" x14ac:dyDescent="0.25">
      <c r="G361" s="35">
        <v>5</v>
      </c>
      <c r="H361" s="416"/>
      <c r="I361" s="417"/>
      <c r="J361" s="418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416"/>
      <c r="I362" s="417"/>
      <c r="J362" s="418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416"/>
      <c r="I363" s="418"/>
      <c r="J363" s="418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datos!$H$333</f>
        <v>51.3</v>
      </c>
      <c r="J370" s="249">
        <f>(J371-J369)/(I371-I369)*(I370-I369)+J369</f>
        <v>2.0127064803049537</v>
      </c>
      <c r="K370" s="249">
        <f>(K371-K369)/(I371-I369)*(I370-I369)+K369</f>
        <v>0.6</v>
      </c>
      <c r="L370" s="242"/>
      <c r="M370" s="243"/>
      <c r="N370" s="32">
        <f>datos!$I$333</f>
        <v>55.8</v>
      </c>
      <c r="O370" s="249">
        <f>(O371-O369)/(N371-N369)*(N370-N369)+O369</f>
        <v>3.4993646759847508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datos!$H$334*100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datos!$I$334*100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2</v>
      </c>
      <c r="I405" s="243">
        <f>VLOOKUP(I406,H411:J417,1,TRUE)</f>
        <v>20</v>
      </c>
      <c r="J405" s="244">
        <f>VLOOKUP(I405,H411:J417,2,FALSE)</f>
        <v>-0.1</v>
      </c>
      <c r="K405" s="244">
        <f>VLOOKUP(I405,H411:J417,3,FALSE)</f>
        <v>0.25</v>
      </c>
      <c r="L405" s="242"/>
      <c r="M405" s="31">
        <f>VLOOKUP(N405,M411:P417,4,FALSE)</f>
        <v>1</v>
      </c>
      <c r="N405" s="243">
        <f>VLOOKUP(N406,M411:P417,1,TRUE)</f>
        <v>14.76</v>
      </c>
      <c r="O405" s="244">
        <f>VLOOKUP(N405,M411:P417,2,FALSE)</f>
        <v>0.18</v>
      </c>
      <c r="P405" s="244">
        <f>VLOOKUP(N405,M411:P417,3,FALSE)</f>
        <v>0.27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datos!$H$332</f>
        <v>20</v>
      </c>
      <c r="J406" s="245">
        <f>(J407-J405)/(I407-I405)*(I406-I405)+J405</f>
        <v>-0.1</v>
      </c>
      <c r="K406" s="245">
        <f>(K407-K405)/(I407-I405)*(I406-I405)+K405</f>
        <v>0.25</v>
      </c>
      <c r="L406" s="242"/>
      <c r="M406" s="243"/>
      <c r="N406" s="32">
        <f>datos!$I$332</f>
        <v>19.8</v>
      </c>
      <c r="O406" s="245">
        <f>(O407-O405)/(N407-N405)*(N406-N405)+O405</f>
        <v>-8.9312977099236746E-2</v>
      </c>
      <c r="P406" s="245">
        <f>(P407-P405)/(N407-N405)*(N406-N405)+P405</f>
        <v>0.25076335877862593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3</v>
      </c>
      <c r="I407" s="243">
        <f>VLOOKUP(H405+1,G411:K417,2,FALSE)</f>
        <v>25</v>
      </c>
      <c r="J407" s="244">
        <f>VLOOKUP(I407,H411:K417,2,FALSE)</f>
        <v>-0.12</v>
      </c>
      <c r="K407" s="244">
        <f>VLOOKUP(I407,H411:K417,3,FALSE)</f>
        <v>0.26</v>
      </c>
      <c r="L407" s="242"/>
      <c r="M407" s="31">
        <f>M405+1</f>
        <v>2</v>
      </c>
      <c r="N407" s="243">
        <f>VLOOKUP(M405+1,L411:P417,2,FALSE)</f>
        <v>20</v>
      </c>
      <c r="O407" s="244">
        <f>VLOOKUP(N407,M411:P417,2,FALSE)</f>
        <v>-0.1</v>
      </c>
      <c r="P407" s="244">
        <f>VLOOKUP(N407,M411:P417,3,FALSE)</f>
        <v>0.25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19.899999999999999</v>
      </c>
      <c r="S413" s="246">
        <f>N406+O406</f>
        <v>19.710687022900764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53.325274725274724</v>
      </c>
      <c r="S414" s="246">
        <f>N424+O424</f>
        <v>57.701648351648352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datos!$H$333</f>
        <v>51.3</v>
      </c>
      <c r="J424" s="249">
        <f>(J425-J423)/(I425-I423)*(I424-I423)+J423</f>
        <v>2.0252747252747252</v>
      </c>
      <c r="K424" s="249">
        <f>(K425-K423)/(I425-I423)*(I424-I423)+K423</f>
        <v>1.3</v>
      </c>
      <c r="L424" s="242"/>
      <c r="M424" s="243"/>
      <c r="N424" s="32">
        <f>datos!$I$333</f>
        <v>55.8</v>
      </c>
      <c r="O424" s="249">
        <f>(O425-O423)/(N425-N423)*(N424-N423)+O423</f>
        <v>1.9016483516483518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datos!$H$334*100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datos!$H$334*100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2</v>
      </c>
      <c r="I458" s="243">
        <f>VLOOKUP(I459,H464:J470,1,TRUE)</f>
        <v>20</v>
      </c>
      <c r="J458" s="244">
        <f>VLOOKUP(I458,H464:J470,2,FALSE)</f>
        <v>-0.08</v>
      </c>
      <c r="K458" s="244">
        <f>VLOOKUP(I458,H464:J470,3,FALSE)</f>
        <v>0.26</v>
      </c>
      <c r="L458" s="242"/>
      <c r="M458" s="31">
        <f>VLOOKUP(N458,M464:P470,4,FALSE)</f>
        <v>1</v>
      </c>
      <c r="N458" s="243">
        <f>VLOOKUP(N459,M464:P470,1,TRUE)</f>
        <v>14.76</v>
      </c>
      <c r="O458" s="244">
        <f>VLOOKUP(N458,M464:P470,2,FALSE)</f>
        <v>-0.1</v>
      </c>
      <c r="P458" s="244">
        <f>VLOOKUP(N458,M464:P470,3,FALSE)</f>
        <v>0.25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datos!$H$332</f>
        <v>20</v>
      </c>
      <c r="J459" s="245">
        <f>(J460-J458)/(I460-I458)*(I459-I458)+J458</f>
        <v>-0.08</v>
      </c>
      <c r="K459" s="245">
        <f>(K460-K458)/(I460-I458)*(I459-I458)+K458</f>
        <v>0.26</v>
      </c>
      <c r="L459" s="242"/>
      <c r="M459" s="243"/>
      <c r="N459" s="32">
        <f>datos!$I$332</f>
        <v>19.8</v>
      </c>
      <c r="O459" s="245">
        <f>(O460-O458)/(N460-N458)*(N459-N458)+O458</f>
        <v>-8.0763358778625949E-2</v>
      </c>
      <c r="P459" s="245">
        <f>(P460-P458)/(N460-N458)*(N459-N458)+P458</f>
        <v>0.25961832061068701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3</v>
      </c>
      <c r="I460" s="243">
        <f>VLOOKUP(H458+1,G464:K470,2,FALSE)</f>
        <v>25</v>
      </c>
      <c r="J460" s="244">
        <f>VLOOKUP(I460,H464:K470,2,FALSE)</f>
        <v>-0.34</v>
      </c>
      <c r="K460" s="244">
        <f>VLOOKUP(I460,H464:K470,3,FALSE)</f>
        <v>0.42</v>
      </c>
      <c r="L460" s="242"/>
      <c r="M460" s="31">
        <f>M458+1</f>
        <v>2</v>
      </c>
      <c r="N460" s="243">
        <f>VLOOKUP(M458+1,L464:P470,2,FALSE)</f>
        <v>20</v>
      </c>
      <c r="O460" s="244">
        <f>VLOOKUP(N460,M464:P470,2,FALSE)</f>
        <v>-0.08</v>
      </c>
      <c r="P460" s="244">
        <f>VLOOKUP(N460,M464:P470,3,FALSE)</f>
        <v>0.26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19.920000000000002</v>
      </c>
      <c r="S466" s="246">
        <f>N459+O459</f>
        <v>19.719236641221375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51.850549450549451</v>
      </c>
      <c r="S467" s="246">
        <f>N477+O477</f>
        <v>51.850549450549451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datos!$H$333</f>
        <v>51.3</v>
      </c>
      <c r="J477" s="249">
        <f>(J478-J476)/(I478-I476)*(I477-I476)+J476</f>
        <v>0.5505494505494507</v>
      </c>
      <c r="K477" s="249">
        <f>(K478-K476)/(I478-I476)*(I477-I476)+K476</f>
        <v>1.3</v>
      </c>
      <c r="L477" s="242"/>
      <c r="M477" s="243"/>
      <c r="N477" s="32">
        <f>datos!$H$333</f>
        <v>51.3</v>
      </c>
      <c r="O477" s="249">
        <f>(O478-O476)/(N478-N476)*(N477-N476)+O476</f>
        <v>0.5505494505494507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datos!$H$334*100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datos!$I$334*100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datos!$H$332</f>
        <v>20</v>
      </c>
      <c r="J513" s="245">
        <f>(J514-J512)/(I514-I512)*(I513-I512)+J512</f>
        <v>8.7036247334754707E-2</v>
      </c>
      <c r="K513" s="245">
        <f>(K514-K512)/(I514-I512)*(I513-I512)+K512</f>
        <v>3.895948827292111E-2</v>
      </c>
      <c r="L513" s="242"/>
      <c r="M513" s="243"/>
      <c r="N513" s="32">
        <f>datos!$H$332</f>
        <v>20</v>
      </c>
      <c r="O513" s="245">
        <f>(O514-O512)/(N514-N512)*(N513-N512)+O512</f>
        <v>8.7036247334754707E-2</v>
      </c>
      <c r="P513" s="245">
        <f>(P514-P512)/(N514-N512)*(N513-N512)+P512</f>
        <v>3.895948827292111E-2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20.087036247334755</v>
      </c>
      <c r="S520" s="246">
        <f>N513+O513</f>
        <v>20.087036247334755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53.312706480304954</v>
      </c>
      <c r="S521" s="246">
        <f>N531+O531</f>
        <v>59.299364675984748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datos!$H$333</f>
        <v>51.3</v>
      </c>
      <c r="J531" s="249">
        <f>(J532-J530)/(I532-I530)*(I531-I530)+J530</f>
        <v>2.0127064803049537</v>
      </c>
      <c r="K531" s="249">
        <f>(K532-K530)/(I532-I530)*(I531-I530)+K530</f>
        <v>0.6</v>
      </c>
      <c r="L531" s="242"/>
      <c r="M531" s="243"/>
      <c r="N531" s="32">
        <f>datos!$I$333</f>
        <v>55.8</v>
      </c>
      <c r="O531" s="249">
        <f>(O532-O530)/(N532-N530)*(N531-N530)+O530</f>
        <v>3.4993646759847508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datos!$H$334*100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datos!$I$334*100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6" priority="16">
      <formula>M143&gt;P143</formula>
    </cfRule>
  </conditionalFormatting>
  <conditionalFormatting sqref="N97:N248">
    <cfRule type="cellIs" dxfId="25" priority="1" operator="lessThan">
      <formula>Z97</formula>
    </cfRule>
  </conditionalFormatting>
  <conditionalFormatting sqref="P97:P248">
    <cfRule type="expression" dxfId="24" priority="2">
      <formula>P97&gt;S97</formula>
    </cfRule>
  </conditionalFormatting>
  <hyperlinks>
    <hyperlink ref="BQ44" r:id="rId1" xr:uid="{00000000-0004-0000-14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6634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6634" r:id="rId4"/>
      </mc:Fallback>
    </mc:AlternateContent>
    <mc:AlternateContent xmlns:mc="http://schemas.openxmlformats.org/markup-compatibility/2006">
      <mc:Choice Requires="x14">
        <oleObject progId="Equation.3" shapeId="26635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6635" r:id="rId6"/>
      </mc:Fallback>
    </mc:AlternateContent>
    <mc:AlternateContent xmlns:mc="http://schemas.openxmlformats.org/markup-compatibility/2006">
      <mc:Choice Requires="x14">
        <oleObject progId="Equation.3" shapeId="2663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6637" r:id="rId8"/>
      </mc:Fallback>
    </mc:AlternateContent>
    <mc:AlternateContent xmlns:mc="http://schemas.openxmlformats.org/markup-compatibility/2006">
      <mc:Choice Requires="x14">
        <oleObject progId="Equation.3" shapeId="2663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6638" r:id="rId10"/>
      </mc:Fallback>
    </mc:AlternateContent>
    <mc:AlternateContent xmlns:mc="http://schemas.openxmlformats.org/markup-compatibility/2006">
      <mc:Choice Requires="x14">
        <oleObject progId="Equation.3" shapeId="2663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6639" r:id="rId12"/>
      </mc:Fallback>
    </mc:AlternateContent>
    <mc:AlternateContent xmlns:mc="http://schemas.openxmlformats.org/markup-compatibility/2006">
      <mc:Choice Requires="x14">
        <oleObject progId="Equation.3" shapeId="2664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6640" r:id="rId14"/>
      </mc:Fallback>
    </mc:AlternateContent>
    <mc:AlternateContent xmlns:mc="http://schemas.openxmlformats.org/markup-compatibility/2006">
      <mc:Choice Requires="x14">
        <oleObject progId="Equation.3" shapeId="2664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6641" r:id="rId16"/>
      </mc:Fallback>
    </mc:AlternateContent>
    <mc:AlternateContent xmlns:mc="http://schemas.openxmlformats.org/markup-compatibility/2006">
      <mc:Choice Requires="x14">
        <oleObject progId="Equation.3" shapeId="2664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6642" r:id="rId18"/>
      </mc:Fallback>
    </mc:AlternateContent>
    <mc:AlternateContent xmlns:mc="http://schemas.openxmlformats.org/markup-compatibility/2006">
      <mc:Choice Requires="x14">
        <oleObject progId="Equation.3" shapeId="2664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6645" r:id="rId19"/>
      </mc:Fallback>
    </mc:AlternateContent>
    <mc:AlternateContent xmlns:mc="http://schemas.openxmlformats.org/markup-compatibility/2006">
      <mc:Choice Requires="x14">
        <oleObject progId="Equation.3" shapeId="266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6646" r:id="rId21"/>
      </mc:Fallback>
    </mc:AlternateContent>
    <mc:AlternateContent xmlns:mc="http://schemas.openxmlformats.org/markup-compatibility/2006">
      <mc:Choice Requires="x14">
        <oleObject progId="Equation.3" shapeId="26664" r:id="rId23">
          <objectPr defaultSize="0" autoPict="0" r:id="rId24">
            <anchor moveWithCells="1" sizeWithCells="1">
              <from>
                <xdr:col>6</xdr:col>
                <xdr:colOff>441960</xdr:colOff>
                <xdr:row>38</xdr:row>
                <xdr:rowOff>304800</xdr:rowOff>
              </from>
              <to>
                <xdr:col>9</xdr:col>
                <xdr:colOff>678180</xdr:colOff>
                <xdr:row>43</xdr:row>
                <xdr:rowOff>327660</xdr:rowOff>
              </to>
            </anchor>
          </objectPr>
        </oleObject>
      </mc:Choice>
      <mc:Fallback>
        <oleObject progId="Equation.3" shapeId="26664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30" r:id="rId25" name="Drop Down 6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1493520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U558"/>
  <sheetViews>
    <sheetView topLeftCell="K1" zoomScale="70" zoomScaleNormal="70" workbookViewId="0">
      <selection activeCell="U21" sqref="U21"/>
    </sheetView>
  </sheetViews>
  <sheetFormatPr baseColWidth="10" defaultColWidth="9.109375" defaultRowHeight="13.8" x14ac:dyDescent="0.25"/>
  <cols>
    <col min="1" max="1" width="9.109375" style="173"/>
    <col min="2" max="2" width="30.5546875" style="174" customWidth="1"/>
    <col min="3" max="3" width="14.44140625" style="174" customWidth="1"/>
    <col min="4" max="4" width="7.109375" style="174" customWidth="1"/>
    <col min="5" max="5" width="15.33203125" style="174" customWidth="1"/>
    <col min="6" max="6" width="12.109375" style="174" bestFit="1" customWidth="1"/>
    <col min="7" max="7" width="9.33203125" style="174" bestFit="1" customWidth="1"/>
    <col min="8" max="8" width="33.44140625" style="174" customWidth="1"/>
    <col min="9" max="9" width="24.33203125" style="174" customWidth="1"/>
    <col min="10" max="10" width="21.44140625" style="174" customWidth="1"/>
    <col min="11" max="11" width="21.33203125" style="174" customWidth="1"/>
    <col min="12" max="12" width="24.109375" style="174" customWidth="1"/>
    <col min="13" max="13" width="24.88671875" style="174" customWidth="1"/>
    <col min="14" max="14" width="22.88671875" style="174" customWidth="1"/>
    <col min="15" max="15" width="23.33203125" style="174" customWidth="1"/>
    <col min="16" max="16" width="24.6640625" style="174" bestFit="1" customWidth="1"/>
    <col min="17" max="17" width="19.44140625" style="174" customWidth="1"/>
    <col min="18" max="18" width="16.88671875" style="174" customWidth="1"/>
    <col min="19" max="19" width="9.6640625" style="174" bestFit="1" customWidth="1"/>
    <col min="20" max="20" width="18.6640625" style="174" bestFit="1" customWidth="1"/>
    <col min="21" max="21" width="12.44140625" style="174" customWidth="1"/>
    <col min="22" max="22" width="18.88671875" style="174" customWidth="1"/>
    <col min="23" max="23" width="11.33203125" style="174" customWidth="1"/>
    <col min="24" max="24" width="14.88671875" style="174" customWidth="1"/>
    <col min="25" max="25" width="16.44140625" style="174" customWidth="1"/>
    <col min="26" max="26" width="17.88671875" style="174" customWidth="1"/>
    <col min="27" max="27" width="11.5546875" style="174" customWidth="1"/>
    <col min="28" max="28" width="14" style="174" customWidth="1"/>
    <col min="29" max="31" width="9.109375" style="174" customWidth="1"/>
    <col min="32" max="32" width="14.5546875" style="174" customWidth="1"/>
    <col min="33" max="33" width="13.5546875" style="174" customWidth="1"/>
    <col min="34" max="34" width="11.88671875" style="174" customWidth="1"/>
    <col min="35" max="35" width="11.44140625" style="174" customWidth="1"/>
    <col min="36" max="36" width="12.33203125" style="174" customWidth="1"/>
    <col min="37" max="37" width="11.6640625" style="174" customWidth="1"/>
    <col min="38" max="38" width="19.88671875" style="174" customWidth="1"/>
    <col min="39" max="42" width="9.109375" style="174" customWidth="1"/>
    <col min="43" max="43" width="16.44140625" style="174" customWidth="1"/>
    <col min="44" max="44" width="14.88671875" style="174" bestFit="1" customWidth="1"/>
    <col min="45" max="45" width="14.44140625" style="174" customWidth="1"/>
    <col min="46" max="48" width="9.33203125" style="174" bestFit="1" customWidth="1"/>
    <col min="49" max="49" width="17.6640625" style="174" customWidth="1"/>
    <col min="50" max="50" width="15.33203125" style="174" customWidth="1"/>
    <col min="51" max="51" width="9.33203125" style="174" bestFit="1" customWidth="1"/>
    <col min="52" max="52" width="9.109375" style="174"/>
    <col min="53" max="53" width="9.33203125" style="174" bestFit="1" customWidth="1"/>
    <col min="54" max="56" width="9.109375" style="174"/>
    <col min="57" max="57" width="20" style="174" customWidth="1"/>
    <col min="58" max="58" width="9.33203125" style="174" bestFit="1" customWidth="1"/>
    <col min="59" max="59" width="9.109375" style="174"/>
    <col min="60" max="60" width="9.33203125" style="174" bestFit="1" customWidth="1"/>
    <col min="61" max="63" width="9.109375" style="174"/>
    <col min="64" max="64" width="13.33203125" style="174" customWidth="1"/>
    <col min="65" max="65" width="10.44140625" style="174" bestFit="1" customWidth="1"/>
    <col min="66" max="69" width="9.109375" style="174"/>
    <col min="70" max="70" width="9.33203125" style="174" bestFit="1" customWidth="1"/>
    <col min="71" max="71" width="9.109375" style="174"/>
    <col min="72" max="72" width="23.5546875" style="174" customWidth="1"/>
    <col min="73" max="73" width="22.33203125" style="174" customWidth="1"/>
    <col min="74" max="16384" width="9.109375" style="174"/>
  </cols>
  <sheetData>
    <row r="1" spans="2:73" ht="14.4" customHeight="1" thickTop="1" x14ac:dyDescent="0.25">
      <c r="B1" s="754" t="s">
        <v>114</v>
      </c>
      <c r="C1" s="755"/>
      <c r="D1" s="755"/>
      <c r="E1" s="756"/>
      <c r="W1" s="289"/>
    </row>
    <row r="2" spans="2:73" ht="17.25" customHeight="1" x14ac:dyDescent="0.25">
      <c r="B2" s="763" t="s">
        <v>36</v>
      </c>
      <c r="C2" s="757"/>
      <c r="D2" s="758"/>
      <c r="E2" s="759"/>
      <c r="W2" s="289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</row>
    <row r="3" spans="2:73" ht="21.75" customHeight="1" x14ac:dyDescent="0.25">
      <c r="B3" s="764"/>
      <c r="C3" s="765" t="str">
        <f>datos!G345</f>
        <v>Acero Carbón</v>
      </c>
      <c r="D3" s="766"/>
      <c r="E3" s="767"/>
      <c r="W3" s="289"/>
      <c r="X3" s="175"/>
      <c r="Y3" s="175"/>
      <c r="Z3" s="175"/>
      <c r="AA3" s="175"/>
      <c r="AB3" s="175"/>
      <c r="AC3" s="175"/>
      <c r="AD3" s="175"/>
      <c r="AE3" s="175"/>
      <c r="AF3" s="175"/>
      <c r="AG3" s="175"/>
      <c r="AH3" s="175"/>
      <c r="AI3" s="175"/>
      <c r="AJ3" s="175"/>
      <c r="AK3" s="175"/>
      <c r="AL3" s="175"/>
      <c r="AM3" s="175"/>
      <c r="AN3" s="175"/>
      <c r="AO3" s="175"/>
      <c r="AP3" s="175"/>
      <c r="AQ3" s="175"/>
      <c r="AR3" s="175"/>
      <c r="AS3" s="175"/>
      <c r="AT3" s="175"/>
      <c r="AU3" s="175"/>
      <c r="AV3" s="175"/>
      <c r="AW3" s="175"/>
      <c r="AX3" s="175"/>
      <c r="AY3" s="175"/>
      <c r="AZ3" s="175"/>
      <c r="BA3" s="175"/>
      <c r="BB3" s="175"/>
      <c r="BC3" s="175"/>
      <c r="BD3" s="175"/>
      <c r="BE3" s="175"/>
      <c r="BF3" s="175"/>
      <c r="BG3" s="175"/>
      <c r="BH3" s="175"/>
      <c r="BI3" s="175"/>
      <c r="BJ3" s="175"/>
      <c r="BK3" s="175"/>
      <c r="BL3" s="175"/>
      <c r="BM3" s="175"/>
      <c r="BN3" s="175"/>
      <c r="BO3" s="175"/>
      <c r="BP3" s="175"/>
      <c r="BQ3" s="175"/>
      <c r="BR3" s="175"/>
      <c r="BS3" s="175"/>
      <c r="BT3" s="175"/>
      <c r="BU3" s="175"/>
    </row>
    <row r="4" spans="2:73" x14ac:dyDescent="0.25">
      <c r="B4" s="11" t="s">
        <v>115</v>
      </c>
      <c r="C4" s="768"/>
      <c r="D4" s="769"/>
      <c r="E4" s="770"/>
      <c r="T4" s="175"/>
      <c r="W4" s="289"/>
      <c r="X4" s="175"/>
      <c r="Y4" s="175"/>
      <c r="Z4" s="175"/>
      <c r="AA4" s="175"/>
      <c r="AB4" s="771" t="s">
        <v>216</v>
      </c>
      <c r="AC4" s="771"/>
      <c r="AD4" s="771"/>
      <c r="AE4" s="175"/>
      <c r="AF4" s="175"/>
      <c r="AG4" s="175"/>
      <c r="AH4" s="175"/>
      <c r="AI4" s="175"/>
      <c r="AJ4" s="175"/>
      <c r="AK4" s="175"/>
      <c r="AL4" s="175"/>
      <c r="AM4" s="175"/>
      <c r="AN4" s="175"/>
      <c r="AO4" s="175"/>
      <c r="AP4" s="175"/>
      <c r="AQ4" s="175"/>
      <c r="AR4" s="175"/>
      <c r="AS4" s="175"/>
      <c r="AT4" s="175"/>
      <c r="AU4" s="175"/>
      <c r="AV4" s="175"/>
      <c r="AW4" s="175"/>
      <c r="AX4" s="175"/>
      <c r="AY4" s="175"/>
      <c r="AZ4" s="175"/>
      <c r="BA4" s="175"/>
      <c r="BB4" s="175"/>
      <c r="BC4" s="175"/>
      <c r="BD4" s="175"/>
      <c r="BE4" s="175"/>
      <c r="BF4" s="175"/>
      <c r="BG4" s="175"/>
      <c r="BH4" s="175"/>
      <c r="BI4" s="175"/>
      <c r="BJ4" s="175"/>
      <c r="BK4" s="175"/>
      <c r="BL4" s="175"/>
      <c r="BM4" s="175"/>
      <c r="BN4" s="175"/>
      <c r="BO4" s="175"/>
      <c r="BP4" s="175"/>
      <c r="BQ4" s="175"/>
      <c r="BR4" s="175"/>
      <c r="BS4" s="175"/>
      <c r="BT4" s="175"/>
      <c r="BU4" s="175"/>
    </row>
    <row r="5" spans="2:73" ht="14.4" x14ac:dyDescent="0.3">
      <c r="B5" s="11" t="s">
        <v>116</v>
      </c>
      <c r="C5" s="788"/>
      <c r="D5" s="789"/>
      <c r="E5" s="790"/>
      <c r="G5" s="176">
        <v>16</v>
      </c>
      <c r="H5" s="140" t="s">
        <v>151</v>
      </c>
      <c r="I5" s="569" t="str">
        <f>datos!C337</f>
        <v>N/A</v>
      </c>
      <c r="J5" s="569" t="str">
        <f>datos!C338</f>
        <v>N/A</v>
      </c>
      <c r="K5" s="569" t="str">
        <f>datos!C339</f>
        <v>N/A</v>
      </c>
      <c r="L5" s="569" t="str">
        <f>datos!C340</f>
        <v>N/A</v>
      </c>
      <c r="M5" s="569" t="str">
        <f>datos!C341</f>
        <v>N/A</v>
      </c>
      <c r="N5" s="569" t="str">
        <f>datos!C342</f>
        <v>N/A</v>
      </c>
      <c r="O5" s="569" t="str">
        <f>datos!C343</f>
        <v>N/A</v>
      </c>
      <c r="P5" s="177" t="s">
        <v>152</v>
      </c>
      <c r="Q5" s="178"/>
      <c r="R5" s="178"/>
      <c r="S5" s="179"/>
      <c r="T5" s="175"/>
      <c r="W5" s="289"/>
      <c r="X5" s="175"/>
      <c r="Y5" s="175"/>
      <c r="Z5" s="175"/>
      <c r="AA5" s="175"/>
      <c r="AB5" s="298" t="s">
        <v>217</v>
      </c>
      <c r="AC5" s="298" t="s">
        <v>218</v>
      </c>
      <c r="AD5" s="298" t="s">
        <v>219</v>
      </c>
      <c r="AE5" s="175"/>
      <c r="AF5" s="175"/>
      <c r="AG5" s="175"/>
      <c r="AH5" s="175"/>
      <c r="AI5" s="175"/>
      <c r="AJ5" s="175"/>
      <c r="AK5" s="175"/>
      <c r="AL5" s="175"/>
      <c r="AM5" s="175"/>
      <c r="AN5" s="175"/>
      <c r="AO5" s="175"/>
      <c r="AP5" s="175"/>
      <c r="AQ5" s="175"/>
      <c r="AR5" s="175"/>
      <c r="AS5" s="175"/>
      <c r="AT5" s="175"/>
      <c r="AU5" s="175"/>
      <c r="AV5" s="175"/>
      <c r="AW5" s="175"/>
      <c r="AX5" s="175"/>
      <c r="AY5" s="175"/>
      <c r="AZ5" s="175"/>
      <c r="BA5" s="175"/>
      <c r="BB5" s="175"/>
      <c r="BC5" s="175"/>
      <c r="BD5" s="175"/>
      <c r="BE5" s="175"/>
      <c r="BF5" s="175"/>
      <c r="BG5" s="175"/>
      <c r="BH5" s="175"/>
      <c r="BI5" s="175"/>
      <c r="BJ5" s="175"/>
      <c r="BK5" s="175"/>
      <c r="BL5" s="175"/>
      <c r="BM5" s="175"/>
      <c r="BN5" s="175"/>
      <c r="BO5" s="175"/>
      <c r="BP5" s="175"/>
      <c r="BQ5" s="175"/>
      <c r="BR5" s="175"/>
      <c r="BS5" s="175"/>
      <c r="BT5" s="175"/>
      <c r="BU5" s="175"/>
    </row>
    <row r="6" spans="2:73" x14ac:dyDescent="0.25">
      <c r="B6" s="11" t="s">
        <v>117</v>
      </c>
      <c r="C6" s="768"/>
      <c r="D6" s="769"/>
      <c r="E6" s="770"/>
      <c r="G6" s="141"/>
      <c r="H6" s="180"/>
      <c r="I6" s="569" t="str">
        <f>datos!C337</f>
        <v>N/A</v>
      </c>
      <c r="J6" s="569" t="str">
        <f>datos!C338</f>
        <v>N/A</v>
      </c>
      <c r="K6" s="569" t="str">
        <f>datos!C339</f>
        <v>N/A</v>
      </c>
      <c r="L6" s="569" t="str">
        <f>datos!C340</f>
        <v>N/A</v>
      </c>
      <c r="M6" s="569" t="str">
        <f>datos!C341</f>
        <v>N/A</v>
      </c>
      <c r="N6" s="569" t="str">
        <f>datos!C342</f>
        <v>N/A</v>
      </c>
      <c r="O6" s="569" t="str">
        <f>datos!C343</f>
        <v>N/A</v>
      </c>
      <c r="P6" s="149" t="s">
        <v>119</v>
      </c>
      <c r="Q6" s="150"/>
      <c r="R6" s="150"/>
      <c r="S6" s="181"/>
      <c r="T6" s="175"/>
      <c r="W6" s="289"/>
      <c r="X6" s="175"/>
      <c r="Y6" s="175"/>
      <c r="Z6" s="175"/>
      <c r="AA6" s="366" t="s">
        <v>220</v>
      </c>
      <c r="AB6" s="192">
        <f>C35</f>
        <v>100101.9</v>
      </c>
      <c r="AC6" s="192">
        <f>C25</f>
        <v>19.518473282442748</v>
      </c>
      <c r="AD6" s="192">
        <f>C30</f>
        <v>51.661538461538463</v>
      </c>
      <c r="AE6" s="175"/>
      <c r="AF6" s="175"/>
      <c r="AG6" s="175"/>
      <c r="AH6" s="175"/>
      <c r="AI6" s="175"/>
      <c r="AJ6" s="175"/>
      <c r="AK6" s="175"/>
      <c r="AL6" s="175"/>
      <c r="AM6" s="175"/>
      <c r="AN6" s="175"/>
      <c r="AO6" s="175"/>
      <c r="AP6" s="175"/>
      <c r="AQ6" s="175"/>
      <c r="AR6" s="175"/>
      <c r="AS6" s="175"/>
      <c r="AT6" s="175"/>
      <c r="AU6" s="175"/>
      <c r="AV6" s="175"/>
      <c r="AW6" s="175"/>
      <c r="AX6" s="175"/>
      <c r="AY6" s="175"/>
      <c r="AZ6" s="175"/>
      <c r="BA6" s="175"/>
      <c r="BB6" s="175"/>
      <c r="BC6" s="175"/>
      <c r="BD6" s="175"/>
      <c r="BE6" s="175"/>
      <c r="BF6" s="175"/>
      <c r="BG6" s="175"/>
      <c r="BH6" s="175"/>
      <c r="BI6" s="175"/>
      <c r="BJ6" s="175"/>
      <c r="BK6" s="175"/>
      <c r="BL6" s="175"/>
      <c r="BM6" s="175"/>
      <c r="BN6" s="175"/>
      <c r="BO6" s="175"/>
      <c r="BP6" s="175"/>
      <c r="BQ6" s="175"/>
      <c r="BR6" s="175"/>
      <c r="BS6" s="175"/>
      <c r="BT6" s="175"/>
      <c r="BU6" s="175"/>
    </row>
    <row r="7" spans="2:73" x14ac:dyDescent="0.25">
      <c r="B7" s="12" t="s">
        <v>118</v>
      </c>
      <c r="C7" s="117">
        <f>datos!E345</f>
        <v>0</v>
      </c>
      <c r="D7" s="118" t="str">
        <f>datos!F345</f>
        <v>kg</v>
      </c>
      <c r="E7" s="119" t="str">
        <f>IF('[7]Toma datos'!E43="*","*"," ")</f>
        <v xml:space="preserve"> </v>
      </c>
      <c r="G7" s="183">
        <v>3</v>
      </c>
      <c r="H7" s="142" t="s">
        <v>132</v>
      </c>
      <c r="I7" s="184">
        <f>IF(I6="N/A",0,VLOOKUP(I6,$I$93:$Z$396,4,FALSE))*1000</f>
        <v>0</v>
      </c>
      <c r="J7" s="184">
        <f t="shared" ref="J7:O7" si="0">IF(J6="N/A",0,VLOOKUP(J6,$I$93:$Z$396,4,FALSE))*1000</f>
        <v>0</v>
      </c>
      <c r="K7" s="184">
        <f t="shared" si="0"/>
        <v>0</v>
      </c>
      <c r="L7" s="184">
        <f t="shared" si="0"/>
        <v>0</v>
      </c>
      <c r="M7" s="184">
        <f t="shared" si="0"/>
        <v>0</v>
      </c>
      <c r="N7" s="184">
        <f t="shared" si="0"/>
        <v>0</v>
      </c>
      <c r="O7" s="184">
        <f t="shared" si="0"/>
        <v>0</v>
      </c>
      <c r="P7" s="151">
        <f>SUM(I7:O7)</f>
        <v>0</v>
      </c>
      <c r="Q7" s="152" t="s">
        <v>132</v>
      </c>
      <c r="R7" s="152"/>
      <c r="S7" s="181"/>
      <c r="T7" s="175"/>
      <c r="W7" s="289"/>
      <c r="X7" s="175"/>
      <c r="Y7" s="175"/>
      <c r="Z7" s="175"/>
      <c r="AA7" s="366" t="s">
        <v>221</v>
      </c>
      <c r="AB7" s="192">
        <f>C36</f>
        <v>100101.9</v>
      </c>
      <c r="AC7" s="192">
        <f>C26</f>
        <v>20.014800000000001</v>
      </c>
      <c r="AD7" s="192">
        <f>C31</f>
        <v>51.661538461538463</v>
      </c>
      <c r="AE7" s="175"/>
      <c r="AF7" s="175"/>
      <c r="AG7" s="175"/>
      <c r="AH7" s="175"/>
      <c r="AI7" s="175"/>
      <c r="AJ7" s="175"/>
      <c r="AK7" s="175"/>
      <c r="AL7" s="175"/>
      <c r="AM7" s="175"/>
      <c r="AN7" s="175"/>
      <c r="AO7" s="175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L7" s="175"/>
      <c r="BM7" s="175"/>
      <c r="BN7" s="175"/>
      <c r="BO7" s="175"/>
      <c r="BP7" s="175"/>
      <c r="BQ7" s="175"/>
      <c r="BR7" s="175"/>
      <c r="BS7" s="175"/>
      <c r="BT7" s="175"/>
      <c r="BU7" s="175"/>
    </row>
    <row r="8" spans="2:73" ht="14.4" thickBot="1" x14ac:dyDescent="0.3">
      <c r="B8" s="13" t="s">
        <v>131</v>
      </c>
      <c r="C8" s="120">
        <f>VLOOKUP(C3,P38:T47,3,FALSE)</f>
        <v>7700</v>
      </c>
      <c r="D8" s="118" t="s">
        <v>120</v>
      </c>
      <c r="E8" s="119">
        <f>VLOOKUP(C3,P38:T47,4,FALSE)/2</f>
        <v>100</v>
      </c>
      <c r="G8" s="183">
        <v>5</v>
      </c>
      <c r="H8" s="142" t="s">
        <v>168</v>
      </c>
      <c r="I8" s="185">
        <f>IF(I6="N/A",0,VLOOKUP(I6,$I$93:$Z$396,5,FALSE))</f>
        <v>0</v>
      </c>
      <c r="J8" s="186">
        <f t="shared" ref="J8:O8" si="1">IF(J6="N/A",0,VLOOKUP(J6,$I$93:$Z$396,5,FALSE))</f>
        <v>0</v>
      </c>
      <c r="K8" s="186">
        <f t="shared" si="1"/>
        <v>0</v>
      </c>
      <c r="L8" s="186">
        <f t="shared" si="1"/>
        <v>0</v>
      </c>
      <c r="M8" s="186">
        <f t="shared" si="1"/>
        <v>0</v>
      </c>
      <c r="N8" s="186">
        <f t="shared" si="1"/>
        <v>0</v>
      </c>
      <c r="O8" s="186">
        <f t="shared" si="1"/>
        <v>0</v>
      </c>
      <c r="P8" s="153">
        <f>SUM(I8:O8)</f>
        <v>0</v>
      </c>
      <c r="Q8" s="154" t="s">
        <v>169</v>
      </c>
      <c r="R8" s="154"/>
      <c r="S8" s="181"/>
      <c r="T8" s="175"/>
      <c r="W8" s="289"/>
      <c r="X8" s="175"/>
      <c r="Y8" s="175"/>
      <c r="Z8" s="175"/>
      <c r="AA8" s="366" t="s">
        <v>222</v>
      </c>
      <c r="AB8" s="366">
        <f>AVERAGE(AB6:AB7)</f>
        <v>100101.9</v>
      </c>
      <c r="AC8" s="366">
        <f>AVERAGE(AC6:AC7)</f>
        <v>19.766636641221375</v>
      </c>
      <c r="AD8" s="366">
        <f>AVERAGE(AD6:AD7)</f>
        <v>51.661538461538463</v>
      </c>
      <c r="AE8" s="175"/>
      <c r="AF8" s="175"/>
      <c r="AG8" s="175"/>
      <c r="AH8" s="175"/>
      <c r="AI8" s="175"/>
      <c r="AJ8" s="175"/>
      <c r="AK8" s="175"/>
      <c r="AL8" s="175"/>
      <c r="AM8" s="175"/>
      <c r="AN8" s="175"/>
      <c r="AO8" s="175"/>
      <c r="AP8" s="377"/>
      <c r="AQ8" s="367"/>
      <c r="AR8" s="367"/>
      <c r="AS8" s="367"/>
      <c r="AT8" s="367"/>
      <c r="AU8" s="179"/>
      <c r="AV8" s="175"/>
      <c r="AW8" s="377"/>
      <c r="AX8" s="367"/>
      <c r="AY8" s="367"/>
      <c r="AZ8" s="367"/>
      <c r="BA8" s="367"/>
      <c r="BB8" s="179"/>
      <c r="BC8" s="175"/>
      <c r="BD8" s="377"/>
      <c r="BE8" s="367"/>
      <c r="BF8" s="367"/>
      <c r="BG8" s="367"/>
      <c r="BH8" s="367"/>
      <c r="BI8" s="179"/>
      <c r="BJ8" s="175"/>
      <c r="BK8" s="377"/>
      <c r="BL8" s="367"/>
      <c r="BM8" s="367"/>
      <c r="BN8" s="367"/>
      <c r="BO8" s="179"/>
      <c r="BP8" s="175"/>
      <c r="BQ8" s="175"/>
      <c r="BR8" s="175"/>
      <c r="BS8" s="175"/>
      <c r="BT8" s="175"/>
      <c r="BU8" s="175"/>
    </row>
    <row r="9" spans="2:73" ht="16.2" thickTop="1" x14ac:dyDescent="0.25">
      <c r="B9" s="754" t="s">
        <v>121</v>
      </c>
      <c r="C9" s="755"/>
      <c r="D9" s="755"/>
      <c r="E9" s="756"/>
      <c r="G9" s="183">
        <v>6</v>
      </c>
      <c r="H9" s="143" t="s">
        <v>134</v>
      </c>
      <c r="I9" s="185">
        <f>IF(I6="N/A",0,VLOOKUP(I6,$I$93:$Z$396,7,FALSE))</f>
        <v>0</v>
      </c>
      <c r="J9" s="187">
        <f t="shared" ref="J9:O9" si="2">IF(J6="N/A",0,VLOOKUP(J6,$I$93:$Z$396,7,FALSE))</f>
        <v>0</v>
      </c>
      <c r="K9" s="187">
        <f t="shared" si="2"/>
        <v>0</v>
      </c>
      <c r="L9" s="187">
        <f t="shared" si="2"/>
        <v>0</v>
      </c>
      <c r="M9" s="187">
        <f t="shared" si="2"/>
        <v>0</v>
      </c>
      <c r="N9" s="187">
        <f t="shared" si="2"/>
        <v>0</v>
      </c>
      <c r="O9" s="187">
        <f t="shared" si="2"/>
        <v>0</v>
      </c>
      <c r="P9" s="153">
        <f>SUM(I9:O9)</f>
        <v>0</v>
      </c>
      <c r="Q9" s="155" t="s">
        <v>134</v>
      </c>
      <c r="R9" s="155"/>
      <c r="S9" s="181"/>
      <c r="T9" s="175"/>
      <c r="W9" s="289"/>
      <c r="X9" s="289"/>
      <c r="Y9" s="289"/>
      <c r="Z9" s="289"/>
      <c r="AA9" s="289"/>
      <c r="AB9" s="289"/>
      <c r="AC9" s="175"/>
      <c r="AD9" s="175"/>
      <c r="AE9" s="175"/>
      <c r="AF9" s="175"/>
      <c r="AG9" s="175"/>
      <c r="AH9" s="175"/>
      <c r="AI9" s="175"/>
      <c r="AJ9" s="175"/>
      <c r="AK9" s="175"/>
      <c r="AL9" s="175"/>
      <c r="AM9" s="175"/>
      <c r="AN9" s="175"/>
      <c r="AO9" s="175"/>
      <c r="AP9" s="378"/>
      <c r="AQ9" s="778" t="s">
        <v>271</v>
      </c>
      <c r="AR9" s="778"/>
      <c r="AS9" s="778"/>
      <c r="AT9" s="289"/>
      <c r="AU9" s="181"/>
      <c r="AV9" s="175"/>
      <c r="AW9" s="378"/>
      <c r="AX9" s="803" t="s">
        <v>272</v>
      </c>
      <c r="AY9" s="804"/>
      <c r="AZ9" s="805"/>
      <c r="BA9" s="289"/>
      <c r="BB9" s="181"/>
      <c r="BC9" s="175"/>
      <c r="BD9" s="378"/>
      <c r="BE9" s="803" t="s">
        <v>273</v>
      </c>
      <c r="BF9" s="804"/>
      <c r="BG9" s="805"/>
      <c r="BH9" s="289"/>
      <c r="BI9" s="181"/>
      <c r="BJ9" s="175"/>
      <c r="BK9" s="378"/>
      <c r="BL9" s="778" t="s">
        <v>274</v>
      </c>
      <c r="BM9" s="778"/>
      <c r="BN9" s="778"/>
      <c r="BO9" s="181"/>
      <c r="BP9" s="175"/>
      <c r="BQ9" s="175"/>
      <c r="BR9" s="175"/>
      <c r="BS9" s="175"/>
      <c r="BT9" s="175"/>
      <c r="BU9" s="175"/>
    </row>
    <row r="10" spans="2:73" x14ac:dyDescent="0.25">
      <c r="B10" s="14" t="s">
        <v>132</v>
      </c>
      <c r="C10" s="779">
        <f>P7</f>
        <v>0</v>
      </c>
      <c r="D10" s="780"/>
      <c r="E10" s="781"/>
      <c r="G10" s="183">
        <v>8</v>
      </c>
      <c r="H10" s="142" t="s">
        <v>135</v>
      </c>
      <c r="I10" s="184">
        <f>IF(I6="N/A",0,VLOOKUP(I6,$I$93:$Z$396,15,FALSE))</f>
        <v>0</v>
      </c>
      <c r="J10" s="184">
        <f t="shared" ref="J10:O10" si="3">IF(J6="N/A",0,VLOOKUP(J6,$I$93:$Z$396,15,FALSE))</f>
        <v>0</v>
      </c>
      <c r="K10" s="184">
        <f t="shared" si="3"/>
        <v>0</v>
      </c>
      <c r="L10" s="184">
        <f t="shared" si="3"/>
        <v>0</v>
      </c>
      <c r="M10" s="184">
        <f t="shared" si="3"/>
        <v>0</v>
      </c>
      <c r="N10" s="184">
        <f t="shared" si="3"/>
        <v>0</v>
      </c>
      <c r="O10" s="184">
        <f t="shared" si="3"/>
        <v>0</v>
      </c>
      <c r="P10" s="153" t="e">
        <f>SUM(P7+P8)/(SUM(IF(I7=0,0,((I7+I8)/I10)),IF(J7=0,0,((J7+J8)/J10)),IF(K7=0,0,((K7+K8)/K10)),IF(L7=0,0,((L7+L8)/L10)),IF(M7=0,0,((M7+M8)/M10)),IF(N7=0,0,((N7+N8)/N10)),IF(O7=0,0,((O7+O8)/O10))       ))</f>
        <v>#DIV/0!</v>
      </c>
      <c r="Q10" s="154" t="s">
        <v>135</v>
      </c>
      <c r="R10" s="154"/>
      <c r="S10" s="181"/>
      <c r="T10" s="175"/>
      <c r="W10" s="289"/>
      <c r="X10" s="367"/>
      <c r="Y10" s="367"/>
      <c r="Z10" s="367"/>
      <c r="AA10" s="367"/>
      <c r="AB10" s="179"/>
      <c r="AC10" s="175"/>
      <c r="AD10" s="377"/>
      <c r="AE10" s="367"/>
      <c r="AF10" s="367"/>
      <c r="AG10" s="367"/>
      <c r="AH10" s="179"/>
      <c r="AI10" s="175"/>
      <c r="AJ10" s="377"/>
      <c r="AK10" s="367"/>
      <c r="AL10" s="367"/>
      <c r="AM10" s="367"/>
      <c r="AN10" s="179"/>
      <c r="AO10" s="175"/>
      <c r="AP10" s="378"/>
      <c r="AQ10" s="368" t="s">
        <v>84</v>
      </c>
      <c r="AR10" s="368" t="s">
        <v>40</v>
      </c>
      <c r="AS10" s="368" t="s">
        <v>41</v>
      </c>
      <c r="AT10" s="289"/>
      <c r="AU10" s="181"/>
      <c r="AV10" s="175"/>
      <c r="AW10" s="378"/>
      <c r="AX10" s="368" t="s">
        <v>84</v>
      </c>
      <c r="AY10" s="368" t="s">
        <v>40</v>
      </c>
      <c r="AZ10" s="368" t="s">
        <v>41</v>
      </c>
      <c r="BA10" s="289"/>
      <c r="BB10" s="181"/>
      <c r="BC10" s="175"/>
      <c r="BD10" s="378"/>
      <c r="BE10" s="368" t="s">
        <v>84</v>
      </c>
      <c r="BF10" s="368" t="s">
        <v>40</v>
      </c>
      <c r="BG10" s="368" t="s">
        <v>41</v>
      </c>
      <c r="BH10" s="289"/>
      <c r="BI10" s="181"/>
      <c r="BJ10" s="175"/>
      <c r="BK10" s="378"/>
      <c r="BL10" s="368" t="s">
        <v>84</v>
      </c>
      <c r="BM10" s="368" t="s">
        <v>40</v>
      </c>
      <c r="BN10" s="368" t="s">
        <v>41</v>
      </c>
      <c r="BO10" s="181"/>
      <c r="BP10" s="175"/>
      <c r="BQ10" s="175"/>
      <c r="BR10" s="175"/>
      <c r="BS10" s="175"/>
      <c r="BT10" s="772" t="s">
        <v>275</v>
      </c>
      <c r="BU10" s="289"/>
    </row>
    <row r="11" spans="2:73" ht="14.4" customHeight="1" x14ac:dyDescent="0.3">
      <c r="B11" s="14" t="s">
        <v>133</v>
      </c>
      <c r="C11" s="121">
        <f>P8</f>
        <v>0</v>
      </c>
      <c r="D11" s="122" t="s">
        <v>26</v>
      </c>
      <c r="E11" s="123" t="s">
        <v>122</v>
      </c>
      <c r="G11" s="183">
        <v>9</v>
      </c>
      <c r="H11" s="143" t="s">
        <v>156</v>
      </c>
      <c r="I11" s="184">
        <f>IF(I6="N/A",0,VLOOKUP(I6,$I$93:$Z$396,16,FALSE))</f>
        <v>0</v>
      </c>
      <c r="J11" s="184">
        <f t="shared" ref="J11:O11" si="4">IF(J6="N/A",0,VLOOKUP(J6,$I$93:$Z$396,16,FALSE))</f>
        <v>0</v>
      </c>
      <c r="K11" s="184">
        <f t="shared" si="4"/>
        <v>0</v>
      </c>
      <c r="L11" s="184">
        <f t="shared" si="4"/>
        <v>0</v>
      </c>
      <c r="M11" s="184">
        <f t="shared" si="4"/>
        <v>0</v>
      </c>
      <c r="N11" s="184">
        <f t="shared" si="4"/>
        <v>0</v>
      </c>
      <c r="O11" s="184">
        <f t="shared" si="4"/>
        <v>0</v>
      </c>
      <c r="P11" s="153" t="e">
        <f>SQRT((((1/P13)*P9)^2)+(((P7+P8)/P13^2)*P14)^2)</f>
        <v>#DIV/0!</v>
      </c>
      <c r="Q11" s="156" t="s">
        <v>156</v>
      </c>
      <c r="R11" s="156"/>
      <c r="S11" s="181"/>
      <c r="T11" s="175"/>
      <c r="W11" s="289"/>
      <c r="X11" s="289"/>
      <c r="Y11" s="289"/>
      <c r="Z11" s="289"/>
      <c r="AA11" s="289"/>
      <c r="AB11" s="181"/>
      <c r="AC11" s="175"/>
      <c r="AD11" s="378"/>
      <c r="AE11" s="289"/>
      <c r="AF11" s="289"/>
      <c r="AG11" s="289"/>
      <c r="AH11" s="181"/>
      <c r="AI11" s="175"/>
      <c r="AJ11" s="378"/>
      <c r="AK11" s="289"/>
      <c r="AL11" s="289"/>
      <c r="AM11" s="289"/>
      <c r="AN11" s="181"/>
      <c r="AO11" s="175"/>
      <c r="AP11" s="378"/>
      <c r="AQ11" s="366" t="s">
        <v>276</v>
      </c>
      <c r="AR11" s="192">
        <f>C34</f>
        <v>100</v>
      </c>
      <c r="AS11" s="368" t="s">
        <v>236</v>
      </c>
      <c r="AT11" s="289"/>
      <c r="AU11" s="181"/>
      <c r="AV11" s="175"/>
      <c r="AW11" s="378"/>
      <c r="AX11" s="366" t="s">
        <v>276</v>
      </c>
      <c r="AY11" s="366">
        <f>C24</f>
        <v>0.1</v>
      </c>
      <c r="AZ11" s="368" t="s">
        <v>7</v>
      </c>
      <c r="BA11" s="289"/>
      <c r="BB11" s="181"/>
      <c r="BC11" s="175"/>
      <c r="BD11" s="378"/>
      <c r="BE11" s="366" t="s">
        <v>276</v>
      </c>
      <c r="BF11" s="366">
        <f>C29</f>
        <v>0.1</v>
      </c>
      <c r="BG11" s="368" t="s">
        <v>42</v>
      </c>
      <c r="BH11" s="289"/>
      <c r="BI11" s="181"/>
      <c r="BJ11" s="175"/>
      <c r="BK11" s="378"/>
      <c r="BL11" s="366" t="s">
        <v>277</v>
      </c>
      <c r="BM11" s="405">
        <f>AF48</f>
        <v>1.1856201929090173</v>
      </c>
      <c r="BN11" s="368" t="s">
        <v>278</v>
      </c>
      <c r="BO11" s="181"/>
      <c r="BP11" s="175"/>
      <c r="BQ11" s="175"/>
      <c r="BR11" s="175"/>
      <c r="BS11" s="175"/>
      <c r="BT11" s="772"/>
      <c r="BU11" s="289"/>
    </row>
    <row r="12" spans="2:73" ht="15.6" x14ac:dyDescent="0.25">
      <c r="B12" s="15" t="s">
        <v>134</v>
      </c>
      <c r="C12" s="782">
        <f>P9</f>
        <v>0</v>
      </c>
      <c r="D12" s="783"/>
      <c r="E12" s="784"/>
      <c r="G12" s="144">
        <v>11</v>
      </c>
      <c r="H12" s="145" t="s">
        <v>153</v>
      </c>
      <c r="I12" s="186">
        <f>IF(I6="N/A",0,VLOOKUP(I6,$I$93:$Z$396,9,FALSE))</f>
        <v>0</v>
      </c>
      <c r="J12" s="186">
        <f t="shared" ref="J12:O12" si="5">IF(J6="N/A",0,VLOOKUP(J6,$I$93:$Z$396,9,FALSE))</f>
        <v>0</v>
      </c>
      <c r="K12" s="186">
        <f t="shared" si="5"/>
        <v>0</v>
      </c>
      <c r="L12" s="186">
        <f t="shared" si="5"/>
        <v>0</v>
      </c>
      <c r="M12" s="186">
        <f t="shared" si="5"/>
        <v>0</v>
      </c>
      <c r="N12" s="186">
        <f t="shared" si="5"/>
        <v>0</v>
      </c>
      <c r="O12" s="186">
        <f t="shared" si="5"/>
        <v>0</v>
      </c>
      <c r="P12" s="151">
        <f>SQRT(SUMSQ(I12:O12))</f>
        <v>0</v>
      </c>
      <c r="Q12" s="152" t="s">
        <v>157</v>
      </c>
      <c r="R12" s="152"/>
      <c r="S12" s="181"/>
      <c r="T12" s="175"/>
      <c r="W12" s="289"/>
      <c r="X12" s="289"/>
      <c r="Y12" s="289"/>
      <c r="Z12" s="289"/>
      <c r="AA12" s="289"/>
      <c r="AB12" s="181"/>
      <c r="AC12" s="175"/>
      <c r="AD12" s="378"/>
      <c r="AE12" s="289"/>
      <c r="AF12" s="289"/>
      <c r="AG12" s="289"/>
      <c r="AH12" s="181"/>
      <c r="AI12" s="175"/>
      <c r="AJ12" s="378"/>
      <c r="AK12" s="289"/>
      <c r="AL12" s="289"/>
      <c r="AM12" s="289"/>
      <c r="AN12" s="181"/>
      <c r="AO12" s="175"/>
      <c r="AP12" s="378"/>
      <c r="AQ12" s="366" t="s">
        <v>279</v>
      </c>
      <c r="AR12" s="192">
        <f>G35</f>
        <v>0.28000000000000003</v>
      </c>
      <c r="AS12" s="368" t="s">
        <v>236</v>
      </c>
      <c r="AT12" s="289"/>
      <c r="AU12" s="181"/>
      <c r="AV12" s="175"/>
      <c r="AW12" s="378"/>
      <c r="AX12" s="366" t="s">
        <v>279</v>
      </c>
      <c r="AY12" s="366">
        <f>G25</f>
        <v>0.33999999999999997</v>
      </c>
      <c r="AZ12" s="368"/>
      <c r="BA12" s="289"/>
      <c r="BB12" s="181"/>
      <c r="BC12" s="175"/>
      <c r="BD12" s="378"/>
      <c r="BE12" s="366" t="s">
        <v>279</v>
      </c>
      <c r="BF12" s="192">
        <f>G30</f>
        <v>1.3</v>
      </c>
      <c r="BG12" s="368"/>
      <c r="BH12" s="289"/>
      <c r="BI12" s="181"/>
      <c r="BJ12" s="175"/>
      <c r="BK12" s="378"/>
      <c r="BL12" s="366" t="s">
        <v>177</v>
      </c>
      <c r="BM12" s="372">
        <v>2.1999999999999999E-5</v>
      </c>
      <c r="BN12" s="366"/>
      <c r="BO12" s="181"/>
      <c r="BP12" s="175"/>
      <c r="BQ12" s="175"/>
      <c r="BR12" s="175"/>
      <c r="BS12" s="175"/>
      <c r="BT12" s="772"/>
      <c r="BU12" s="408">
        <v>1.0000000000000001E-5</v>
      </c>
    </row>
    <row r="13" spans="2:73" ht="14.4" customHeight="1" x14ac:dyDescent="0.25">
      <c r="B13" s="13" t="s">
        <v>135</v>
      </c>
      <c r="C13" s="124" t="e">
        <f>P10</f>
        <v>#DIV/0!</v>
      </c>
      <c r="D13" s="118" t="s">
        <v>120</v>
      </c>
      <c r="E13" s="119" t="e">
        <f>P11</f>
        <v>#DIV/0!</v>
      </c>
      <c r="G13" s="144">
        <v>13</v>
      </c>
      <c r="H13" s="145" t="s">
        <v>154</v>
      </c>
      <c r="I13" s="186">
        <f>IF(I6="N/A",0,VLOOKUP(I6,$I$93:$Z$396,17,FALSE))</f>
        <v>0</v>
      </c>
      <c r="J13" s="186">
        <f t="shared" ref="J13:O13" si="6">IF(J6="N/A",0,VLOOKUP(J6,$I$93:$Z$396,17,FALSE))</f>
        <v>0</v>
      </c>
      <c r="K13" s="186">
        <f t="shared" si="6"/>
        <v>0</v>
      </c>
      <c r="L13" s="186">
        <f t="shared" si="6"/>
        <v>0</v>
      </c>
      <c r="M13" s="186">
        <f t="shared" si="6"/>
        <v>0</v>
      </c>
      <c r="N13" s="186">
        <f t="shared" si="6"/>
        <v>0</v>
      </c>
      <c r="O13" s="186">
        <f t="shared" si="6"/>
        <v>0</v>
      </c>
      <c r="P13" s="151">
        <f>SUM(I13:O13)</f>
        <v>0</v>
      </c>
      <c r="Q13" s="152" t="s">
        <v>158</v>
      </c>
      <c r="R13" s="152"/>
      <c r="S13" s="181"/>
      <c r="T13" s="175"/>
      <c r="W13" s="289"/>
      <c r="X13" s="366" t="s">
        <v>223</v>
      </c>
      <c r="Y13" s="289"/>
      <c r="Z13" s="366" t="s">
        <v>224</v>
      </c>
      <c r="AA13" s="289"/>
      <c r="AB13" s="181"/>
      <c r="AC13" s="175"/>
      <c r="AD13" s="378"/>
      <c r="AE13" s="366" t="s">
        <v>223</v>
      </c>
      <c r="AF13" s="289"/>
      <c r="AG13" s="366" t="s">
        <v>224</v>
      </c>
      <c r="AH13" s="181"/>
      <c r="AI13" s="175"/>
      <c r="AJ13" s="378"/>
      <c r="AK13" s="366" t="s">
        <v>223</v>
      </c>
      <c r="AL13" s="289"/>
      <c r="AM13" s="366" t="s">
        <v>224</v>
      </c>
      <c r="AN13" s="181"/>
      <c r="AO13" s="175"/>
      <c r="AP13" s="378"/>
      <c r="AQ13" s="366" t="s">
        <v>243</v>
      </c>
      <c r="AR13" s="366">
        <v>2</v>
      </c>
      <c r="AS13" s="368"/>
      <c r="AT13" s="289"/>
      <c r="AU13" s="181"/>
      <c r="AV13" s="175"/>
      <c r="AW13" s="378"/>
      <c r="AX13" s="366" t="s">
        <v>243</v>
      </c>
      <c r="AY13" s="366">
        <v>2</v>
      </c>
      <c r="AZ13" s="368"/>
      <c r="BA13" s="289"/>
      <c r="BB13" s="181"/>
      <c r="BC13" s="175"/>
      <c r="BD13" s="378"/>
      <c r="BE13" s="366" t="s">
        <v>243</v>
      </c>
      <c r="BF13" s="366">
        <v>2</v>
      </c>
      <c r="BG13" s="368"/>
      <c r="BH13" s="289"/>
      <c r="BI13" s="181"/>
      <c r="BJ13" s="175"/>
      <c r="BK13" s="378"/>
      <c r="BL13" s="289"/>
      <c r="BM13" s="289"/>
      <c r="BN13" s="289"/>
      <c r="BO13" s="181"/>
      <c r="BP13" s="175"/>
      <c r="BQ13" s="175"/>
      <c r="BR13" s="175"/>
      <c r="BS13" s="175"/>
      <c r="BT13" s="409"/>
      <c r="BU13" s="408"/>
    </row>
    <row r="14" spans="2:73" ht="15.6" thickBot="1" x14ac:dyDescent="0.3">
      <c r="B14" s="14" t="s">
        <v>136</v>
      </c>
      <c r="C14" s="125">
        <f>P13</f>
        <v>0</v>
      </c>
      <c r="D14" s="118" t="s">
        <v>120</v>
      </c>
      <c r="E14" s="126">
        <f>P14</f>
        <v>0</v>
      </c>
      <c r="G14" s="146">
        <v>14</v>
      </c>
      <c r="H14" s="147" t="s">
        <v>155</v>
      </c>
      <c r="I14" s="186">
        <f>IF(I6="N/A",0,VLOOKUP(I6,$I$93:$Z$396,18,FALSE))</f>
        <v>0</v>
      </c>
      <c r="J14" s="186">
        <f t="shared" ref="J14:O14" si="7">IF(J6="N/A",0,VLOOKUP(J6,$I$93:$Z$396,18,FALSE))</f>
        <v>0</v>
      </c>
      <c r="K14" s="186">
        <f t="shared" si="7"/>
        <v>0</v>
      </c>
      <c r="L14" s="186">
        <f t="shared" si="7"/>
        <v>0</v>
      </c>
      <c r="M14" s="186">
        <f t="shared" si="7"/>
        <v>0</v>
      </c>
      <c r="N14" s="186">
        <f t="shared" si="7"/>
        <v>0</v>
      </c>
      <c r="O14" s="186">
        <f t="shared" si="7"/>
        <v>0</v>
      </c>
      <c r="P14" s="157">
        <f>SUM(I14:O14)</f>
        <v>0</v>
      </c>
      <c r="Q14" s="158" t="s">
        <v>159</v>
      </c>
      <c r="R14" s="158"/>
      <c r="S14" s="189"/>
      <c r="T14" s="175"/>
      <c r="W14" s="289"/>
      <c r="X14" s="289"/>
      <c r="Y14" s="289"/>
      <c r="Z14" s="289"/>
      <c r="AA14" s="289"/>
      <c r="AB14" s="181"/>
      <c r="AC14" s="175"/>
      <c r="AD14" s="378"/>
      <c r="AE14" s="289"/>
      <c r="AF14" s="289"/>
      <c r="AG14" s="289"/>
      <c r="AH14" s="181"/>
      <c r="AI14" s="175"/>
      <c r="AJ14" s="378"/>
      <c r="AK14" s="289"/>
      <c r="AL14" s="289"/>
      <c r="AM14" s="289"/>
      <c r="AN14" s="181"/>
      <c r="AO14" s="175"/>
      <c r="AP14" s="378"/>
      <c r="AQ14" s="366" t="s">
        <v>487</v>
      </c>
      <c r="AR14" s="192">
        <f>MAX(AB6:AB7)</f>
        <v>100101.9</v>
      </c>
      <c r="AS14" s="368" t="s">
        <v>236</v>
      </c>
      <c r="AT14" s="289" t="s">
        <v>280</v>
      </c>
      <c r="AU14" s="181"/>
      <c r="AV14" s="175"/>
      <c r="AW14" s="378"/>
      <c r="AX14" s="366" t="s">
        <v>488</v>
      </c>
      <c r="AY14" s="477">
        <f>MAX(AC6:AC7)</f>
        <v>20.014800000000001</v>
      </c>
      <c r="AZ14" s="368" t="s">
        <v>7</v>
      </c>
      <c r="BA14" s="289" t="s">
        <v>280</v>
      </c>
      <c r="BB14" s="181"/>
      <c r="BC14" s="175"/>
      <c r="BD14" s="378"/>
      <c r="BE14" s="366" t="s">
        <v>489</v>
      </c>
      <c r="BF14" s="477">
        <f>MAX(AD6:AD7)</f>
        <v>51.661538461538463</v>
      </c>
      <c r="BG14" s="368" t="s">
        <v>42</v>
      </c>
      <c r="BH14" s="289" t="s">
        <v>280</v>
      </c>
      <c r="BI14" s="181"/>
      <c r="BJ14" s="175"/>
      <c r="BK14" s="378"/>
      <c r="BL14" s="289"/>
      <c r="BM14" s="289"/>
      <c r="BN14" s="289"/>
      <c r="BO14" s="181"/>
      <c r="BP14" s="175"/>
      <c r="BQ14" s="175"/>
      <c r="BR14" s="175"/>
      <c r="BS14" s="175"/>
      <c r="BT14" s="289"/>
      <c r="BU14" s="408"/>
    </row>
    <row r="15" spans="2:73" ht="16.2" thickTop="1" x14ac:dyDescent="0.3">
      <c r="B15" s="754" t="s">
        <v>123</v>
      </c>
      <c r="C15" s="755"/>
      <c r="D15" s="755"/>
      <c r="E15" s="756"/>
      <c r="G15" s="144">
        <v>15</v>
      </c>
      <c r="H15" s="145" t="s">
        <v>375</v>
      </c>
      <c r="I15" s="186">
        <f>IF(I6="N/A",0,VLOOKUP(I6,$I$93:$Z$396,3,FALSE))</f>
        <v>0</v>
      </c>
      <c r="J15" s="186">
        <f t="shared" ref="J15:O15" si="8">IF(J6="N/A",0,VLOOKUP(J6,$I$93:$Z$396,3,FALSE))</f>
        <v>0</v>
      </c>
      <c r="K15" s="186">
        <f t="shared" si="8"/>
        <v>0</v>
      </c>
      <c r="L15" s="186">
        <f t="shared" si="8"/>
        <v>0</v>
      </c>
      <c r="M15" s="186">
        <f t="shared" si="8"/>
        <v>0</v>
      </c>
      <c r="N15" s="186">
        <f t="shared" si="8"/>
        <v>0</v>
      </c>
      <c r="O15" s="186">
        <f t="shared" si="8"/>
        <v>0</v>
      </c>
      <c r="W15" s="289"/>
      <c r="X15" s="366" t="s">
        <v>225</v>
      </c>
      <c r="Y15" s="366">
        <f>AC8</f>
        <v>19.766636641221375</v>
      </c>
      <c r="Z15" s="368" t="s">
        <v>226</v>
      </c>
      <c r="AA15" s="289"/>
      <c r="AB15" s="181"/>
      <c r="AC15" s="175"/>
      <c r="AD15" s="378"/>
      <c r="AE15" s="366" t="s">
        <v>227</v>
      </c>
      <c r="AF15" s="379">
        <v>1.0006200000000001</v>
      </c>
      <c r="AG15" s="368"/>
      <c r="AH15" s="181"/>
      <c r="AI15" s="175"/>
      <c r="AJ15" s="378"/>
      <c r="AK15" s="366" t="s">
        <v>228</v>
      </c>
      <c r="AL15" s="383">
        <v>1.2378846999999999E-5</v>
      </c>
      <c r="AM15" s="368" t="s">
        <v>229</v>
      </c>
      <c r="AN15" s="181"/>
      <c r="AO15" s="175"/>
      <c r="AP15" s="378"/>
      <c r="AQ15" s="366" t="s">
        <v>490</v>
      </c>
      <c r="AR15" s="192">
        <f>MIN(AB6:AB7)</f>
        <v>100101.9</v>
      </c>
      <c r="AS15" s="368" t="s">
        <v>236</v>
      </c>
      <c r="AT15" s="366">
        <f>AVERAGE(AR14:AR15)</f>
        <v>100101.9</v>
      </c>
      <c r="AU15" s="181"/>
      <c r="AV15" s="175"/>
      <c r="AW15" s="378"/>
      <c r="AX15" s="366" t="s">
        <v>491</v>
      </c>
      <c r="AY15" s="477">
        <f>MIN(AC6:AC7)</f>
        <v>19.518473282442748</v>
      </c>
      <c r="AZ15" s="368" t="s">
        <v>7</v>
      </c>
      <c r="BA15" s="477">
        <f>AVERAGE(AY14:AY15)</f>
        <v>19.766636641221375</v>
      </c>
      <c r="BB15" s="181"/>
      <c r="BC15" s="175"/>
      <c r="BD15" s="378"/>
      <c r="BE15" s="366" t="s">
        <v>492</v>
      </c>
      <c r="BF15" s="477">
        <f>MIN(AD6:AD7)</f>
        <v>51.661538461538463</v>
      </c>
      <c r="BG15" s="368" t="s">
        <v>42</v>
      </c>
      <c r="BH15" s="478">
        <f>AVERAGE(BF14:BF15)</f>
        <v>51.661538461538463</v>
      </c>
      <c r="BI15" s="181"/>
      <c r="BJ15" s="175"/>
      <c r="BK15" s="378"/>
      <c r="BL15" s="289"/>
      <c r="BM15" s="289"/>
      <c r="BN15" s="289"/>
      <c r="BO15" s="181"/>
      <c r="BP15" s="175"/>
      <c r="BQ15" s="175"/>
      <c r="BR15" s="175"/>
      <c r="BS15" s="175"/>
      <c r="BT15" s="409"/>
      <c r="BU15" s="408"/>
    </row>
    <row r="16" spans="2:73" ht="15.6" x14ac:dyDescent="0.3">
      <c r="B16" s="10" t="s">
        <v>124</v>
      </c>
      <c r="C16" s="785" t="str">
        <f>datos!H345</f>
        <v>NI-MCBAL-02</v>
      </c>
      <c r="D16" s="786"/>
      <c r="E16" s="787"/>
      <c r="G16" s="144">
        <v>16</v>
      </c>
      <c r="H16" s="148" t="s">
        <v>36</v>
      </c>
      <c r="I16" s="186">
        <f>IF(I6="N/A",0,VLOOKUP(I6,$I$93:$Z$396,14,FALSE))</f>
        <v>0</v>
      </c>
      <c r="J16" s="186">
        <f t="shared" ref="J16:O16" si="9">IF(J6="N/A",0,VLOOKUP(J6,$I$93:$Z$396,14,FALSE))</f>
        <v>0</v>
      </c>
      <c r="K16" s="186">
        <f t="shared" si="9"/>
        <v>0</v>
      </c>
      <c r="L16" s="186">
        <f t="shared" si="9"/>
        <v>0</v>
      </c>
      <c r="M16" s="186">
        <f t="shared" si="9"/>
        <v>0</v>
      </c>
      <c r="N16" s="186">
        <f t="shared" si="9"/>
        <v>0</v>
      </c>
      <c r="O16" s="186">
        <f t="shared" si="9"/>
        <v>0</v>
      </c>
      <c r="W16" s="289"/>
      <c r="X16" s="366" t="s">
        <v>230</v>
      </c>
      <c r="Y16" s="366">
        <f>Y15^2</f>
        <v>390.71992410607544</v>
      </c>
      <c r="Z16" s="368" t="s">
        <v>226</v>
      </c>
      <c r="AA16" s="289"/>
      <c r="AB16" s="181"/>
      <c r="AC16" s="175"/>
      <c r="AD16" s="378"/>
      <c r="AE16" s="366" t="s">
        <v>231</v>
      </c>
      <c r="AF16" s="380">
        <v>3.1400000000000003E-8</v>
      </c>
      <c r="AG16" s="368" t="s">
        <v>232</v>
      </c>
      <c r="AH16" s="181"/>
      <c r="AI16" s="175"/>
      <c r="AJ16" s="378"/>
      <c r="AK16" s="384" t="s">
        <v>233</v>
      </c>
      <c r="AL16" s="385">
        <v>-1.9121315999999999E-2</v>
      </c>
      <c r="AM16" s="368" t="s">
        <v>234</v>
      </c>
      <c r="AN16" s="181"/>
      <c r="AO16" s="175"/>
      <c r="AP16" s="378"/>
      <c r="AQ16" s="289"/>
      <c r="AR16" s="289"/>
      <c r="AS16" s="289"/>
      <c r="AT16" s="289"/>
      <c r="AU16" s="181"/>
      <c r="AV16" s="175"/>
      <c r="AW16" s="378"/>
      <c r="AX16" s="289"/>
      <c r="AY16" s="289"/>
      <c r="AZ16" s="289"/>
      <c r="BA16" s="479">
        <f>273.15+BA15</f>
        <v>292.91663664122137</v>
      </c>
      <c r="BB16" s="181"/>
      <c r="BC16" s="175"/>
      <c r="BD16" s="378"/>
      <c r="BE16" s="289"/>
      <c r="BF16" s="289"/>
      <c r="BG16" s="289"/>
      <c r="BH16" s="289"/>
      <c r="BI16" s="181"/>
      <c r="BJ16" s="175"/>
      <c r="BK16" s="378"/>
      <c r="BL16" s="289"/>
      <c r="BM16" s="407">
        <f>BM12*BM11</f>
        <v>2.608364424399838E-5</v>
      </c>
      <c r="BN16" s="289"/>
      <c r="BO16" s="181"/>
      <c r="BP16" s="175"/>
      <c r="BQ16" s="175"/>
      <c r="BR16" s="175"/>
      <c r="BS16" s="175"/>
      <c r="BT16" s="772" t="s">
        <v>281</v>
      </c>
      <c r="BU16" s="408">
        <v>3.3999999999999998E-3</v>
      </c>
    </row>
    <row r="17" spans="2:73" ht="17.25" customHeight="1" x14ac:dyDescent="0.3">
      <c r="B17" s="10" t="s">
        <v>137</v>
      </c>
      <c r="C17" s="120">
        <f>(VLOOKUP(H327,I324:P330,5,FALSE))</f>
        <v>100</v>
      </c>
      <c r="D17" s="127"/>
      <c r="E17" s="123"/>
      <c r="W17" s="289"/>
      <c r="X17" s="366" t="s">
        <v>235</v>
      </c>
      <c r="Y17" s="366">
        <f>AB8</f>
        <v>100101.9</v>
      </c>
      <c r="Z17" s="368" t="s">
        <v>236</v>
      </c>
      <c r="AA17" s="289"/>
      <c r="AB17" s="181"/>
      <c r="AC17" s="175"/>
      <c r="AD17" s="378"/>
      <c r="AE17" s="366" t="s">
        <v>237</v>
      </c>
      <c r="AF17" s="380">
        <v>5.6000000000000004E-7</v>
      </c>
      <c r="AG17" s="368" t="s">
        <v>238</v>
      </c>
      <c r="AH17" s="181"/>
      <c r="AI17" s="175"/>
      <c r="AJ17" s="378"/>
      <c r="AK17" s="366" t="s">
        <v>239</v>
      </c>
      <c r="AL17" s="366">
        <v>33.93711047</v>
      </c>
      <c r="AM17" s="368"/>
      <c r="AN17" s="181"/>
      <c r="AO17" s="175"/>
      <c r="AP17" s="378"/>
      <c r="AQ17" s="289"/>
      <c r="AR17" s="289"/>
      <c r="AS17" s="289"/>
      <c r="AT17" s="289"/>
      <c r="AU17" s="181"/>
      <c r="AV17" s="175"/>
      <c r="AW17" s="378"/>
      <c r="AX17" s="289"/>
      <c r="AY17" s="289"/>
      <c r="AZ17" s="289"/>
      <c r="BA17" s="289"/>
      <c r="BB17" s="181"/>
      <c r="BC17" s="175"/>
      <c r="BD17" s="378"/>
      <c r="BE17" s="289"/>
      <c r="BF17" s="289"/>
      <c r="BG17" s="289"/>
      <c r="BH17" s="289"/>
      <c r="BI17" s="181"/>
      <c r="BJ17" s="175"/>
      <c r="BK17" s="378"/>
      <c r="BL17" s="289"/>
      <c r="BM17" s="289"/>
      <c r="BN17" s="289"/>
      <c r="BO17" s="181"/>
      <c r="BP17" s="175"/>
      <c r="BQ17" s="175"/>
      <c r="BR17" s="175"/>
      <c r="BS17" s="175"/>
      <c r="BT17" s="772"/>
      <c r="BU17" s="408"/>
    </row>
    <row r="18" spans="2:73" ht="15.6" x14ac:dyDescent="0.3">
      <c r="B18" s="10" t="s">
        <v>171</v>
      </c>
      <c r="C18" s="120">
        <f>C17/SQRT(12)</f>
        <v>28.867513459481291</v>
      </c>
      <c r="D18" s="127"/>
      <c r="E18" s="123"/>
      <c r="H18" s="190"/>
      <c r="W18" s="289"/>
      <c r="X18" s="366" t="s">
        <v>240</v>
      </c>
      <c r="Y18" s="366">
        <f>Y17^2</f>
        <v>10020390383.609999</v>
      </c>
      <c r="Z18" s="368" t="s">
        <v>236</v>
      </c>
      <c r="AA18" s="289"/>
      <c r="AB18" s="181"/>
      <c r="AC18" s="175"/>
      <c r="AD18" s="378"/>
      <c r="AE18" s="366" t="s">
        <v>241</v>
      </c>
      <c r="AF18" s="379">
        <f>Y16</f>
        <v>390.71992410607544</v>
      </c>
      <c r="AG18" s="368" t="s">
        <v>7</v>
      </c>
      <c r="AH18" s="181"/>
      <c r="AI18" s="175"/>
      <c r="AJ18" s="378"/>
      <c r="AK18" s="366" t="s">
        <v>242</v>
      </c>
      <c r="AL18" s="385">
        <v>-6343.1644999999999</v>
      </c>
      <c r="AM18" s="368" t="s">
        <v>243</v>
      </c>
      <c r="AN18" s="181"/>
      <c r="AO18" s="175"/>
      <c r="AP18" s="378"/>
      <c r="AQ18" s="289"/>
      <c r="AR18" s="393">
        <f>AR12/AR13</f>
        <v>0.14000000000000001</v>
      </c>
      <c r="AS18" s="394" t="s">
        <v>236</v>
      </c>
      <c r="AT18" s="289"/>
      <c r="AU18" s="181"/>
      <c r="AV18" s="175"/>
      <c r="AW18" s="378"/>
      <c r="AX18" s="289"/>
      <c r="AY18" s="393">
        <f>AY12/AY13</f>
        <v>0.16999999999999998</v>
      </c>
      <c r="AZ18" s="394" t="s">
        <v>7</v>
      </c>
      <c r="BA18" s="289"/>
      <c r="BB18" s="181"/>
      <c r="BC18" s="175"/>
      <c r="BD18" s="378"/>
      <c r="BE18" s="289"/>
      <c r="BF18" s="393">
        <f>BF12/BF13</f>
        <v>0.65</v>
      </c>
      <c r="BG18" s="394" t="s">
        <v>42</v>
      </c>
      <c r="BH18" s="289"/>
      <c r="BI18" s="181"/>
      <c r="BJ18" s="175"/>
      <c r="BK18" s="378"/>
      <c r="BL18" s="289"/>
      <c r="BM18" s="289"/>
      <c r="BN18" s="289"/>
      <c r="BO18" s="181"/>
      <c r="BP18" s="175"/>
      <c r="BQ18" s="175"/>
      <c r="BR18" s="175"/>
      <c r="BS18" s="175"/>
      <c r="BT18" s="289"/>
      <c r="BU18" s="408"/>
    </row>
    <row r="19" spans="2:73" ht="15" x14ac:dyDescent="0.25">
      <c r="B19" s="10" t="s">
        <v>138</v>
      </c>
      <c r="C19" s="128">
        <v>0</v>
      </c>
      <c r="D19" s="129"/>
      <c r="E19" s="130"/>
      <c r="W19" s="289"/>
      <c r="X19" s="366" t="s">
        <v>244</v>
      </c>
      <c r="Y19" s="192">
        <f>AC8+273.15</f>
        <v>292.91663664122137</v>
      </c>
      <c r="Z19" s="368" t="s">
        <v>243</v>
      </c>
      <c r="AA19" s="289"/>
      <c r="AB19" s="181"/>
      <c r="AC19" s="175"/>
      <c r="AD19" s="378"/>
      <c r="AE19" s="289"/>
      <c r="AF19" s="289"/>
      <c r="AG19" s="289"/>
      <c r="AH19" s="181"/>
      <c r="AI19" s="175"/>
      <c r="AJ19" s="378"/>
      <c r="AK19" s="366" t="s">
        <v>244</v>
      </c>
      <c r="AL19" s="192">
        <f>Y19</f>
        <v>292.91663664122137</v>
      </c>
      <c r="AM19" s="368" t="s">
        <v>243</v>
      </c>
      <c r="AN19" s="181"/>
      <c r="AO19" s="175"/>
      <c r="AP19" s="378"/>
      <c r="AQ19" s="289"/>
      <c r="AR19" s="289"/>
      <c r="AS19" s="289"/>
      <c r="AT19" s="289"/>
      <c r="AU19" s="181"/>
      <c r="AV19" s="175"/>
      <c r="AW19" s="378"/>
      <c r="AX19" s="289"/>
      <c r="AY19" s="289"/>
      <c r="AZ19" s="289"/>
      <c r="BA19" s="289"/>
      <c r="BB19" s="181"/>
      <c r="BC19" s="175"/>
      <c r="BD19" s="378"/>
      <c r="BE19" s="289"/>
      <c r="BF19" s="289"/>
      <c r="BG19" s="289"/>
      <c r="BH19" s="289"/>
      <c r="BI19" s="181"/>
      <c r="BJ19" s="175"/>
      <c r="BK19" s="378"/>
      <c r="BL19" s="289"/>
      <c r="BM19" s="289"/>
      <c r="BN19" s="289"/>
      <c r="BO19" s="181"/>
      <c r="BP19" s="175"/>
      <c r="BQ19" s="175"/>
      <c r="BR19" s="175"/>
      <c r="BS19" s="175"/>
      <c r="BT19" s="409"/>
      <c r="BU19" s="408"/>
    </row>
    <row r="20" spans="2:73" ht="15.6" x14ac:dyDescent="0.3">
      <c r="B20" s="16" t="s">
        <v>139</v>
      </c>
      <c r="C20" s="128">
        <v>0</v>
      </c>
      <c r="D20" s="131"/>
      <c r="E20" s="132"/>
      <c r="W20" s="289"/>
      <c r="X20" s="366" t="s">
        <v>245</v>
      </c>
      <c r="Y20" s="366">
        <f>Y19^2</f>
        <v>85800.156021205315</v>
      </c>
      <c r="Z20" s="368" t="s">
        <v>243</v>
      </c>
      <c r="AA20" s="289"/>
      <c r="AB20" s="181"/>
      <c r="AC20" s="175"/>
      <c r="AD20" s="378"/>
      <c r="AE20" s="191" t="s">
        <v>246</v>
      </c>
      <c r="AF20" s="381">
        <f>AF15+(AF16*Y17)+(AF17*AF18)</f>
        <v>1.0039820028174995</v>
      </c>
      <c r="AG20" s="289"/>
      <c r="AH20" s="181"/>
      <c r="AI20" s="175"/>
      <c r="AJ20" s="378"/>
      <c r="AK20" s="289"/>
      <c r="AL20" s="289"/>
      <c r="AM20" s="289"/>
      <c r="AN20" s="181"/>
      <c r="AO20" s="175"/>
      <c r="AP20" s="378"/>
      <c r="AQ20" s="289"/>
      <c r="AR20" s="289"/>
      <c r="AS20" s="289"/>
      <c r="AT20" s="289"/>
      <c r="AU20" s="181"/>
      <c r="AV20" s="175"/>
      <c r="AW20" s="378"/>
      <c r="AX20" s="289"/>
      <c r="AY20" s="289"/>
      <c r="AZ20" s="289"/>
      <c r="BA20" s="289"/>
      <c r="BB20" s="181"/>
      <c r="BC20" s="175"/>
      <c r="BD20" s="378"/>
      <c r="BE20" s="289"/>
      <c r="BF20" s="289"/>
      <c r="BG20" s="289"/>
      <c r="BH20" s="289"/>
      <c r="BI20" s="181"/>
      <c r="BJ20" s="175"/>
      <c r="BK20" s="378"/>
      <c r="BL20" s="289"/>
      <c r="BM20" s="289"/>
      <c r="BN20" s="289"/>
      <c r="BO20" s="181"/>
      <c r="BP20" s="175"/>
      <c r="BQ20" s="175"/>
      <c r="BR20" s="175"/>
      <c r="BS20" s="175"/>
      <c r="BT20" s="772" t="s">
        <v>282</v>
      </c>
      <c r="BU20" s="408"/>
    </row>
    <row r="21" spans="2:73" ht="17.25" customHeight="1" thickBot="1" x14ac:dyDescent="0.35">
      <c r="B21" s="10" t="s">
        <v>140</v>
      </c>
      <c r="C21" s="133"/>
      <c r="D21" s="127"/>
      <c r="E21" s="134"/>
      <c r="W21" s="289"/>
      <c r="X21" s="366" t="s">
        <v>247</v>
      </c>
      <c r="Y21" s="369">
        <v>1.58123E-6</v>
      </c>
      <c r="Z21" s="368" t="s">
        <v>248</v>
      </c>
      <c r="AA21" s="289"/>
      <c r="AB21" s="181"/>
      <c r="AC21" s="175"/>
      <c r="AD21" s="378"/>
      <c r="AE21" s="289"/>
      <c r="AF21" s="289"/>
      <c r="AG21" s="289"/>
      <c r="AH21" s="181"/>
      <c r="AI21" s="175"/>
      <c r="AJ21" s="378"/>
      <c r="AK21" s="191" t="s">
        <v>249</v>
      </c>
      <c r="AL21" s="386">
        <f>1*EXP((AL15*(AL19^2))+(AL16*Y19)+AL17+(AL18/AL19))</f>
        <v>2305.5603919950672</v>
      </c>
      <c r="AM21" s="289"/>
      <c r="AN21" s="181"/>
      <c r="AO21" s="175"/>
      <c r="AP21" s="378"/>
      <c r="AQ21" s="289"/>
      <c r="AR21" s="395">
        <f>AR11/SQRT(12)</f>
        <v>28.867513459481291</v>
      </c>
      <c r="AS21" s="394" t="s">
        <v>236</v>
      </c>
      <c r="AT21" s="289"/>
      <c r="AU21" s="181"/>
      <c r="AV21" s="175"/>
      <c r="AW21" s="378"/>
      <c r="AX21" s="289"/>
      <c r="AY21" s="397">
        <f>AY11/SQRT(12)</f>
        <v>2.8867513459481291E-2</v>
      </c>
      <c r="AZ21" s="394" t="s">
        <v>7</v>
      </c>
      <c r="BA21" s="289"/>
      <c r="BB21" s="181"/>
      <c r="BC21" s="175"/>
      <c r="BD21" s="378"/>
      <c r="BE21" s="289"/>
      <c r="BF21" s="399">
        <f>BF11/SQRT(12)</f>
        <v>2.8867513459481291E-2</v>
      </c>
      <c r="BG21" s="394" t="s">
        <v>42</v>
      </c>
      <c r="BH21" s="289"/>
      <c r="BI21" s="181"/>
      <c r="BJ21" s="175"/>
      <c r="BK21" s="378"/>
      <c r="BL21" s="289"/>
      <c r="BM21" s="289"/>
      <c r="BN21" s="289"/>
      <c r="BO21" s="181"/>
      <c r="BP21" s="175"/>
      <c r="BQ21" s="175"/>
      <c r="BR21" s="175"/>
      <c r="BS21" s="175"/>
      <c r="BT21" s="772"/>
      <c r="BU21" s="408"/>
    </row>
    <row r="22" spans="2:73" ht="14.4" customHeight="1" thickTop="1" x14ac:dyDescent="0.3">
      <c r="B22" s="754" t="s">
        <v>172</v>
      </c>
      <c r="C22" s="755"/>
      <c r="D22" s="755"/>
      <c r="E22" s="756"/>
      <c r="I22" s="159" t="s">
        <v>160</v>
      </c>
      <c r="J22" s="159" t="s">
        <v>161</v>
      </c>
      <c r="K22" s="159" t="s">
        <v>162</v>
      </c>
      <c r="L22" s="159" t="s">
        <v>163</v>
      </c>
      <c r="M22" s="159" t="s">
        <v>164</v>
      </c>
      <c r="N22" s="164" t="s">
        <v>299</v>
      </c>
      <c r="P22" s="776" t="s">
        <v>300</v>
      </c>
      <c r="Q22" s="777"/>
      <c r="R22" s="260">
        <f>(VLOOKUP(R23,$I$93:$Z$396,4,FALSE))</f>
        <v>0.2</v>
      </c>
      <c r="W22" s="289"/>
      <c r="X22" s="366" t="s">
        <v>250</v>
      </c>
      <c r="Y22" s="369">
        <v>-2.9331E-8</v>
      </c>
      <c r="Z22" s="368" t="s">
        <v>251</v>
      </c>
      <c r="AA22" s="289"/>
      <c r="AB22" s="181"/>
      <c r="AC22" s="175"/>
      <c r="AD22" s="378"/>
      <c r="AE22" s="289"/>
      <c r="AF22" s="289"/>
      <c r="AG22" s="289"/>
      <c r="AH22" s="181"/>
      <c r="AI22" s="175"/>
      <c r="AJ22" s="378"/>
      <c r="AK22" s="289"/>
      <c r="AL22" s="289"/>
      <c r="AM22" s="289"/>
      <c r="AN22" s="181"/>
      <c r="AO22" s="175"/>
      <c r="AP22" s="378"/>
      <c r="AQ22" s="289"/>
      <c r="AR22" s="289"/>
      <c r="AS22" s="289"/>
      <c r="AT22" s="289"/>
      <c r="AU22" s="181"/>
      <c r="AV22" s="175"/>
      <c r="AW22" s="378"/>
      <c r="AX22" s="289"/>
      <c r="AY22" s="289"/>
      <c r="AZ22" s="289"/>
      <c r="BA22" s="289"/>
      <c r="BB22" s="181"/>
      <c r="BC22" s="175"/>
      <c r="BD22" s="378"/>
      <c r="BE22" s="289"/>
      <c r="BF22" s="289"/>
      <c r="BG22" s="289"/>
      <c r="BH22" s="289"/>
      <c r="BI22" s="181"/>
      <c r="BJ22" s="175"/>
      <c r="BK22" s="378"/>
      <c r="BL22" s="289"/>
      <c r="BM22" s="289"/>
      <c r="BN22" s="289"/>
      <c r="BO22" s="181"/>
      <c r="BP22" s="175"/>
      <c r="BQ22" s="175"/>
      <c r="BR22" s="175"/>
      <c r="BS22" s="175"/>
      <c r="BT22" s="772"/>
      <c r="BU22" s="408"/>
    </row>
    <row r="23" spans="2:73" ht="15.6" x14ac:dyDescent="0.3">
      <c r="B23" s="10" t="s">
        <v>125</v>
      </c>
      <c r="C23" s="135" t="str">
        <f>datos!I345</f>
        <v>NI-MCPPT-06</v>
      </c>
      <c r="D23" s="136"/>
      <c r="E23" s="137"/>
      <c r="I23" s="160" t="s">
        <v>165</v>
      </c>
      <c r="J23" s="160" t="s">
        <v>166</v>
      </c>
      <c r="K23" s="160" t="s">
        <v>166</v>
      </c>
      <c r="L23" s="161" t="s">
        <v>165</v>
      </c>
      <c r="M23" s="161"/>
      <c r="N23" s="165"/>
      <c r="P23" s="264"/>
      <c r="Q23" s="265"/>
      <c r="R23" s="261" t="str">
        <f>datos!D344</f>
        <v>NI-MCPM-JM-02 (200mg)</v>
      </c>
      <c r="W23" s="289"/>
      <c r="X23" s="366" t="s">
        <v>252</v>
      </c>
      <c r="Y23" s="370">
        <v>1.1043E-10</v>
      </c>
      <c r="Z23" s="368" t="s">
        <v>253</v>
      </c>
      <c r="AA23" s="289"/>
      <c r="AB23" s="181"/>
      <c r="AC23" s="175"/>
      <c r="AD23" s="378"/>
      <c r="AE23" s="289"/>
      <c r="AF23" s="289"/>
      <c r="AG23" s="289"/>
      <c r="AH23" s="181"/>
      <c r="AI23" s="175"/>
      <c r="AJ23" s="378"/>
      <c r="AK23" s="289"/>
      <c r="AL23" s="289"/>
      <c r="AM23" s="289"/>
      <c r="AN23" s="181"/>
      <c r="AO23" s="175"/>
      <c r="AP23" s="378"/>
      <c r="AQ23" s="289"/>
      <c r="AR23" s="289"/>
      <c r="AS23" s="289"/>
      <c r="AT23" s="289"/>
      <c r="AU23" s="181"/>
      <c r="AV23" s="175"/>
      <c r="AW23" s="378"/>
      <c r="AX23" s="289"/>
      <c r="AY23" s="289"/>
      <c r="AZ23" s="289"/>
      <c r="BA23" s="289"/>
      <c r="BB23" s="181"/>
      <c r="BC23" s="175"/>
      <c r="BD23" s="378"/>
      <c r="BE23" s="289"/>
      <c r="BF23" s="289"/>
      <c r="BG23" s="289"/>
      <c r="BH23" s="289"/>
      <c r="BI23" s="181"/>
      <c r="BJ23" s="175"/>
      <c r="BK23" s="378"/>
      <c r="BL23" s="289"/>
      <c r="BM23" s="289"/>
      <c r="BN23" s="289"/>
      <c r="BO23" s="181"/>
      <c r="BP23" s="175"/>
      <c r="BQ23" s="175"/>
      <c r="BR23" s="175"/>
      <c r="BS23" s="175"/>
      <c r="BT23" s="289"/>
      <c r="BU23" s="408">
        <v>-0.01</v>
      </c>
    </row>
    <row r="24" spans="2:73" ht="19.5" customHeight="1" x14ac:dyDescent="0.3">
      <c r="B24" s="10" t="s">
        <v>1428</v>
      </c>
      <c r="C24" s="120">
        <f>VLOOKUP(I332,I336:U343,4,FALSE)</f>
        <v>0.1</v>
      </c>
      <c r="D24" s="127"/>
      <c r="E24" s="123"/>
      <c r="I24" s="162" t="str">
        <f>datos!C347</f>
        <v>g</v>
      </c>
      <c r="J24" s="163" t="str">
        <f>I24</f>
        <v>g</v>
      </c>
      <c r="K24" s="163" t="str">
        <f>J24</f>
        <v>g</v>
      </c>
      <c r="L24" s="163" t="str">
        <f>K24</f>
        <v>g</v>
      </c>
      <c r="M24" s="163" t="str">
        <f>L24</f>
        <v>g</v>
      </c>
      <c r="N24" s="166" t="s">
        <v>471</v>
      </c>
      <c r="P24" s="253">
        <v>3</v>
      </c>
      <c r="Q24" s="254" t="s">
        <v>132</v>
      </c>
      <c r="R24" s="262">
        <f>(VLOOKUP(R23,$I$93:$Z$396,4,FALSE))*1000</f>
        <v>200</v>
      </c>
      <c r="W24" s="289"/>
      <c r="X24" s="366" t="s">
        <v>254</v>
      </c>
      <c r="Y24" s="371">
        <v>5.7069999999999997E-6</v>
      </c>
      <c r="Z24" s="368" t="s">
        <v>248</v>
      </c>
      <c r="AA24" s="289"/>
      <c r="AB24" s="181"/>
      <c r="AC24" s="175"/>
      <c r="AD24" s="378"/>
      <c r="AE24" s="289"/>
      <c r="AF24" s="289"/>
      <c r="AG24" s="289"/>
      <c r="AH24" s="181"/>
      <c r="AI24" s="175"/>
      <c r="AJ24" s="378"/>
      <c r="AK24" s="289"/>
      <c r="AL24" s="289"/>
      <c r="AM24" s="289"/>
      <c r="AN24" s="181"/>
      <c r="AO24" s="175"/>
      <c r="AP24" s="378"/>
      <c r="AQ24" s="289"/>
      <c r="AR24" s="289"/>
      <c r="AS24" s="289"/>
      <c r="AT24" s="289"/>
      <c r="AU24" s="181"/>
      <c r="AV24" s="175"/>
      <c r="AW24" s="378"/>
      <c r="AX24" s="289"/>
      <c r="AY24" s="397">
        <f>(AY14-AY15)/SQRT(24)</f>
        <v>0.10131226697714447</v>
      </c>
      <c r="AZ24" s="394" t="s">
        <v>7</v>
      </c>
      <c r="BA24" s="289"/>
      <c r="BB24" s="181"/>
      <c r="BC24" s="175"/>
      <c r="BD24" s="378"/>
      <c r="BE24" s="289"/>
      <c r="BF24" s="399">
        <f>(BF14-BF15)/SQRT(24)</f>
        <v>0</v>
      </c>
      <c r="BG24" s="394" t="s">
        <v>42</v>
      </c>
      <c r="BH24" s="289"/>
      <c r="BI24" s="181"/>
      <c r="BJ24" s="175"/>
      <c r="BK24" s="378"/>
      <c r="BL24" s="289"/>
      <c r="BM24" s="289"/>
      <c r="BN24" s="289"/>
      <c r="BO24" s="181"/>
      <c r="BP24" s="175"/>
      <c r="BQ24" s="175"/>
      <c r="BR24" s="175"/>
      <c r="BS24" s="175"/>
      <c r="BT24" s="409"/>
      <c r="BU24" s="408"/>
    </row>
    <row r="25" spans="2:73" ht="14.4" customHeight="1" x14ac:dyDescent="0.3">
      <c r="B25" s="11" t="s">
        <v>1429</v>
      </c>
      <c r="C25" s="138">
        <f>IF(I332="NI-MCPPT-01",I352+J352,IF(I332="NI-MCPPT-02",I406+J406,IF(I332="NI-MCPPT-06",I459+J459," Error ")))</f>
        <v>19.518473282442748</v>
      </c>
      <c r="D25" s="118" t="s">
        <v>120</v>
      </c>
      <c r="E25" s="138">
        <f>IF(I332="NI-MCPPT-01",MAX(K351:K353),IF(I332="NI-MCPPT-02",MAX(K405:K407),IF(I332="NI-MCPPT-06",MAX(K458:K460)," Error ")))</f>
        <v>0.26</v>
      </c>
      <c r="F25" s="191" t="s">
        <v>280</v>
      </c>
      <c r="G25" s="192">
        <f>AVERAGE(E25:E26)</f>
        <v>0.33999999999999997</v>
      </c>
      <c r="I25" s="78">
        <f>datos!C348</f>
        <v>0</v>
      </c>
      <c r="J25" s="78">
        <f>datos!D348</f>
        <v>0</v>
      </c>
      <c r="K25" s="78">
        <f>datos!E348</f>
        <v>0</v>
      </c>
      <c r="L25" s="78">
        <f>datos!F348</f>
        <v>0</v>
      </c>
      <c r="M25" s="168">
        <f>((J25-I25)+(K25-L25))/2</f>
        <v>0</v>
      </c>
      <c r="N25" s="167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253">
        <v>5</v>
      </c>
      <c r="Q25" s="254" t="s">
        <v>168</v>
      </c>
      <c r="R25" s="263">
        <f>(VLOOKUP(R23,$I$93:$Z$396,5,FALSE))</f>
        <v>1.5999999999999999E-5</v>
      </c>
      <c r="W25" s="289"/>
      <c r="X25" s="366" t="s">
        <v>255</v>
      </c>
      <c r="Y25" s="371">
        <v>-2.051E-8</v>
      </c>
      <c r="Z25" s="368" t="s">
        <v>251</v>
      </c>
      <c r="AA25" s="289"/>
      <c r="AB25" s="181"/>
      <c r="AC25" s="175"/>
      <c r="AD25" s="378"/>
      <c r="AE25" s="289"/>
      <c r="AF25" s="289"/>
      <c r="AG25" s="289"/>
      <c r="AH25" s="181"/>
      <c r="AI25" s="175"/>
      <c r="AJ25" s="378"/>
      <c r="AK25" s="289"/>
      <c r="AL25" s="289"/>
      <c r="AM25" s="289"/>
      <c r="AN25" s="181"/>
      <c r="AO25" s="175"/>
      <c r="AP25" s="378"/>
      <c r="AQ25" s="289"/>
      <c r="AR25" s="396">
        <f>(AR14-AR15)/SQRT(24)</f>
        <v>0</v>
      </c>
      <c r="AS25" s="394" t="s">
        <v>236</v>
      </c>
      <c r="AT25" s="289"/>
      <c r="AU25" s="181"/>
      <c r="AV25" s="175"/>
      <c r="AW25" s="378"/>
      <c r="AX25" s="289"/>
      <c r="AY25" s="289"/>
      <c r="AZ25" s="289"/>
      <c r="BA25" s="289"/>
      <c r="BB25" s="181"/>
      <c r="BC25" s="175"/>
      <c r="BD25" s="378"/>
      <c r="BE25" s="289"/>
      <c r="BF25" s="289"/>
      <c r="BG25" s="289"/>
      <c r="BH25" s="289"/>
      <c r="BI25" s="181"/>
      <c r="BJ25" s="175"/>
      <c r="BK25" s="378"/>
      <c r="BL25" s="289"/>
      <c r="BM25" s="289"/>
      <c r="BN25" s="289"/>
      <c r="BO25" s="181"/>
      <c r="BP25" s="175"/>
      <c r="BQ25" s="175"/>
      <c r="BR25" s="175"/>
      <c r="BS25" s="175"/>
      <c r="BT25" s="772" t="s">
        <v>283</v>
      </c>
      <c r="BU25" s="408"/>
    </row>
    <row r="26" spans="2:73" ht="14.4" customHeight="1" thickBot="1" x14ac:dyDescent="0.35">
      <c r="B26" s="11" t="s">
        <v>1430</v>
      </c>
      <c r="C26" s="138">
        <f>IF(I332="NI-MCPPT-01",N352+O352,IF(I332="NI-MCPPT-02",N406+O406,IF(I332="NI-MCPPT-06",N459+O459," Error ")))</f>
        <v>20.014800000000001</v>
      </c>
      <c r="D26" s="118" t="s">
        <v>120</v>
      </c>
      <c r="E26" s="138">
        <f>IF(I332="NI-MCPPT-01",MAX(P351:P353),IF(I332="NI-MCPPT-02",MAX(P405:P407),IF(I332="NI-MCPPT-06",MAX(P458:P460)," Error ")))</f>
        <v>0.42</v>
      </c>
      <c r="F26" s="474"/>
      <c r="I26" s="78">
        <f>datos!C349</f>
        <v>0</v>
      </c>
      <c r="J26" s="78">
        <f>datos!D349</f>
        <v>0</v>
      </c>
      <c r="K26" s="78">
        <f>datos!E349</f>
        <v>0</v>
      </c>
      <c r="L26" s="78">
        <f>datos!F349</f>
        <v>0</v>
      </c>
      <c r="M26" s="169">
        <f>((J26-I26)+(K26-L26))/2</f>
        <v>0</v>
      </c>
      <c r="N26" s="167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253">
        <v>6</v>
      </c>
      <c r="Q26" s="255" t="s">
        <v>134</v>
      </c>
      <c r="R26" s="262">
        <f>(VLOOKUP(R23,$I$93:$Z$396,7,FALSE))</f>
        <v>1.4E-5</v>
      </c>
      <c r="W26" s="289"/>
      <c r="X26" s="366" t="s">
        <v>256</v>
      </c>
      <c r="Y26" s="370">
        <v>1.9898E-4</v>
      </c>
      <c r="Z26" s="368" t="s">
        <v>248</v>
      </c>
      <c r="AA26" s="289"/>
      <c r="AB26" s="181"/>
      <c r="AC26" s="175"/>
      <c r="AD26" s="378"/>
      <c r="AE26" s="289"/>
      <c r="AF26" s="289"/>
      <c r="AG26" s="289"/>
      <c r="AH26" s="181"/>
      <c r="AI26" s="175"/>
      <c r="AJ26" s="378"/>
      <c r="AK26" s="289"/>
      <c r="AL26" s="289"/>
      <c r="AM26" s="289"/>
      <c r="AN26" s="181"/>
      <c r="AO26" s="175"/>
      <c r="AP26" s="378"/>
      <c r="AQ26" s="289"/>
      <c r="AR26" s="289"/>
      <c r="AS26" s="289"/>
      <c r="AT26" s="289"/>
      <c r="AU26" s="181"/>
      <c r="AV26" s="175"/>
      <c r="AW26" s="378"/>
      <c r="AX26" s="289"/>
      <c r="AY26" s="289"/>
      <c r="AZ26" s="289"/>
      <c r="BA26" s="289"/>
      <c r="BB26" s="181"/>
      <c r="BC26" s="175"/>
      <c r="BD26" s="378"/>
      <c r="BE26" s="289"/>
      <c r="BF26" s="289"/>
      <c r="BG26" s="289"/>
      <c r="BH26" s="289"/>
      <c r="BI26" s="181"/>
      <c r="BJ26" s="175"/>
      <c r="BK26" s="378"/>
      <c r="BL26" s="289"/>
      <c r="BM26" s="289"/>
      <c r="BN26" s="289"/>
      <c r="BO26" s="181"/>
      <c r="BP26" s="175"/>
      <c r="BQ26" s="175"/>
      <c r="BR26" s="175"/>
      <c r="BS26" s="175"/>
      <c r="BT26" s="772"/>
      <c r="BU26" s="408"/>
    </row>
    <row r="27" spans="2:73" ht="15" thickTop="1" x14ac:dyDescent="0.3">
      <c r="B27" s="754" t="s">
        <v>189</v>
      </c>
      <c r="C27" s="755"/>
      <c r="D27" s="755"/>
      <c r="E27" s="756"/>
      <c r="I27" s="78">
        <f>datos!C350</f>
        <v>0</v>
      </c>
      <c r="J27" s="78">
        <f>datos!D350</f>
        <v>0</v>
      </c>
      <c r="K27" s="78">
        <f>datos!E350</f>
        <v>0</v>
      </c>
      <c r="L27" s="78">
        <f>datos!F350</f>
        <v>0</v>
      </c>
      <c r="M27" s="169">
        <f>((J27-I27)+(K27-L27))/2</f>
        <v>0</v>
      </c>
      <c r="N27" s="167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253">
        <v>8</v>
      </c>
      <c r="Q27" s="254" t="s">
        <v>135</v>
      </c>
      <c r="R27" s="262">
        <f>(VLOOKUP(R23,$I$93:$Z$396,15,FALSE))</f>
        <v>7950</v>
      </c>
      <c r="W27" s="289"/>
      <c r="X27" s="366" t="s">
        <v>257</v>
      </c>
      <c r="Y27" s="371">
        <v>-2.3760000000000002E-6</v>
      </c>
      <c r="Z27" s="368" t="s">
        <v>251</v>
      </c>
      <c r="AA27" s="289"/>
      <c r="AB27" s="181"/>
      <c r="AC27" s="175"/>
      <c r="AD27" s="378"/>
      <c r="AE27" s="289"/>
      <c r="AF27" s="289"/>
      <c r="AG27" s="289"/>
      <c r="AH27" s="181"/>
      <c r="AI27" s="175"/>
      <c r="AJ27" s="378"/>
      <c r="AK27" s="289"/>
      <c r="AL27" s="289"/>
      <c r="AM27" s="289"/>
      <c r="AN27" s="181"/>
      <c r="AO27" s="175"/>
      <c r="AP27" s="378"/>
      <c r="AQ27" s="289"/>
      <c r="AR27" s="289"/>
      <c r="AS27" s="289"/>
      <c r="AT27" s="289"/>
      <c r="AU27" s="181"/>
      <c r="AV27" s="175"/>
      <c r="AW27" s="378"/>
      <c r="AX27" s="289"/>
      <c r="AY27" s="289"/>
      <c r="AZ27" s="289"/>
      <c r="BA27" s="289"/>
      <c r="BB27" s="181"/>
      <c r="BC27" s="175"/>
      <c r="BD27" s="378"/>
      <c r="BE27" s="289"/>
      <c r="BF27" s="289"/>
      <c r="BG27" s="289"/>
      <c r="BH27" s="289"/>
      <c r="BI27" s="181"/>
      <c r="BJ27" s="175"/>
      <c r="BK27" s="378"/>
      <c r="BL27" s="289"/>
      <c r="BM27" s="289"/>
      <c r="BN27" s="289"/>
      <c r="BO27" s="181"/>
      <c r="BP27" s="175"/>
      <c r="BQ27" s="175"/>
      <c r="BR27" s="175"/>
      <c r="BS27" s="175"/>
      <c r="BT27" s="772"/>
      <c r="BU27" s="289"/>
    </row>
    <row r="28" spans="2:73" ht="15.6" x14ac:dyDescent="0.3">
      <c r="B28" s="10" t="s">
        <v>126</v>
      </c>
      <c r="C28" s="757" t="str">
        <f>datos!I345</f>
        <v>NI-MCPPT-06</v>
      </c>
      <c r="D28" s="758"/>
      <c r="E28" s="759"/>
      <c r="I28" s="78">
        <f>datos!C351</f>
        <v>0</v>
      </c>
      <c r="J28" s="78">
        <f>datos!D351</f>
        <v>0</v>
      </c>
      <c r="K28" s="78">
        <f>datos!E351</f>
        <v>0</v>
      </c>
      <c r="L28" s="78">
        <f>datos!F351</f>
        <v>0</v>
      </c>
      <c r="M28" s="169">
        <f>IF(L28="No aplica"," ",   ((J28-I28)+(K28-L28))/2)</f>
        <v>0</v>
      </c>
      <c r="N28" s="167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253">
        <v>9</v>
      </c>
      <c r="Q28" s="255" t="s">
        <v>156</v>
      </c>
      <c r="R28" s="262">
        <f>(VLOOKUP(R23,$I$93:$Z$396,16,FALSE))</f>
        <v>70</v>
      </c>
      <c r="W28" s="289"/>
      <c r="X28" s="366" t="s">
        <v>258</v>
      </c>
      <c r="Y28" s="372">
        <v>1.8300000000000001E-11</v>
      </c>
      <c r="Z28" s="368" t="s">
        <v>259</v>
      </c>
      <c r="AA28" s="289"/>
      <c r="AB28" s="181"/>
      <c r="AC28" s="175"/>
      <c r="AD28" s="378"/>
      <c r="AE28" s="289"/>
      <c r="AF28" s="289"/>
      <c r="AG28" s="289"/>
      <c r="AH28" s="181"/>
      <c r="AI28" s="175"/>
      <c r="AJ28" s="378"/>
      <c r="AK28" s="289"/>
      <c r="AL28" s="289"/>
      <c r="AM28" s="289"/>
      <c r="AN28" s="181"/>
      <c r="AO28" s="175"/>
      <c r="AP28" s="378"/>
      <c r="AQ28" s="289"/>
      <c r="AR28" s="289"/>
      <c r="AS28" s="289"/>
      <c r="AT28" s="397">
        <f>SQRT((AR18^2)+(AR21^2)+(AR25^2))</f>
        <v>28.867852939443445</v>
      </c>
      <c r="AU28" s="398" t="s">
        <v>236</v>
      </c>
      <c r="AV28" s="175"/>
      <c r="AW28" s="378"/>
      <c r="AX28" s="289"/>
      <c r="AY28" s="289"/>
      <c r="AZ28" s="289"/>
      <c r="BA28" s="397">
        <f>SQRT((AY18^2)+(AY21^2)+(AY24^2))</f>
        <v>0.19999377183647876</v>
      </c>
      <c r="BB28" s="398" t="s">
        <v>7</v>
      </c>
      <c r="BC28" s="175"/>
      <c r="BD28" s="378"/>
      <c r="BE28" s="289"/>
      <c r="BF28" s="289"/>
      <c r="BG28" s="289"/>
      <c r="BH28" s="400">
        <f>SQRT((BF18^2)+(BF21^2)+(BF24^2))</f>
        <v>0.65064070986477118</v>
      </c>
      <c r="BI28" s="398" t="s">
        <v>42</v>
      </c>
      <c r="BJ28" s="175"/>
      <c r="BK28" s="378"/>
      <c r="BL28" s="289"/>
      <c r="BM28" s="289"/>
      <c r="BN28" s="289"/>
      <c r="BO28" s="181"/>
      <c r="BP28" s="175"/>
      <c r="BQ28" s="175"/>
      <c r="BR28" s="175"/>
      <c r="BS28" s="175"/>
      <c r="BT28" s="289"/>
      <c r="BU28" s="131"/>
    </row>
    <row r="29" spans="2:73" ht="21.75" customHeight="1" thickBot="1" x14ac:dyDescent="0.35">
      <c r="B29" s="10" t="s">
        <v>1431</v>
      </c>
      <c r="C29" s="120">
        <f>VLOOKUP(I332,I336:U343,5,FALSE)</f>
        <v>0.1</v>
      </c>
      <c r="D29" s="127"/>
      <c r="E29" s="123"/>
      <c r="I29" s="455" t="s">
        <v>5</v>
      </c>
      <c r="J29" s="455" t="s">
        <v>5</v>
      </c>
      <c r="K29" s="455" t="s">
        <v>5</v>
      </c>
      <c r="L29" s="455" t="s">
        <v>5</v>
      </c>
      <c r="M29" s="170" t="s">
        <v>473</v>
      </c>
      <c r="N29" s="171" t="e">
        <f>STDEV(N25:N28)</f>
        <v>#DIV/0!</v>
      </c>
      <c r="P29" s="256">
        <v>11</v>
      </c>
      <c r="Q29" s="257" t="s">
        <v>153</v>
      </c>
      <c r="R29" s="262">
        <f>(VLOOKUP(R23,$I$93:$Z$396,9,FALSE))</f>
        <v>1.1547005383792517E-5</v>
      </c>
      <c r="W29" s="289"/>
      <c r="X29" s="373" t="s">
        <v>260</v>
      </c>
      <c r="Y29" s="374">
        <v>-7.5599999999999995E-9</v>
      </c>
      <c r="Z29" s="368" t="s">
        <v>261</v>
      </c>
      <c r="AA29" s="289"/>
      <c r="AB29" s="181"/>
      <c r="AC29" s="175"/>
      <c r="AD29" s="378"/>
      <c r="AE29" s="289"/>
      <c r="AF29" s="289"/>
      <c r="AG29" s="289"/>
      <c r="AH29" s="181"/>
      <c r="AI29" s="175"/>
      <c r="AJ29" s="378"/>
      <c r="AK29" s="289"/>
      <c r="AL29" s="289"/>
      <c r="AM29" s="289"/>
      <c r="AN29" s="181"/>
      <c r="AO29" s="175"/>
      <c r="AP29" s="382"/>
      <c r="AQ29" s="376"/>
      <c r="AR29" s="376"/>
      <c r="AS29" s="376"/>
      <c r="AT29" s="376"/>
      <c r="AU29" s="189"/>
      <c r="AV29" s="175"/>
      <c r="AW29" s="382"/>
      <c r="AX29" s="376"/>
      <c r="AY29" s="376"/>
      <c r="AZ29" s="376"/>
      <c r="BA29" s="376"/>
      <c r="BB29" s="189"/>
      <c r="BC29" s="175"/>
      <c r="BD29" s="382"/>
      <c r="BE29" s="376"/>
      <c r="BF29" s="376"/>
      <c r="BG29" s="376"/>
      <c r="BH29" s="401">
        <f>BH28/100</f>
        <v>6.506407098647712E-3</v>
      </c>
      <c r="BI29" s="189"/>
      <c r="BJ29" s="175"/>
      <c r="BK29" s="382"/>
      <c r="BL29" s="376"/>
      <c r="BM29" s="376"/>
      <c r="BN29" s="376"/>
      <c r="BO29" s="189"/>
      <c r="BP29" s="175"/>
      <c r="BQ29" s="175"/>
      <c r="BR29" s="175"/>
      <c r="BS29" s="175"/>
      <c r="BT29" s="409"/>
      <c r="BU29" s="131"/>
    </row>
    <row r="30" spans="2:73" ht="15.6" thickBot="1" x14ac:dyDescent="0.3">
      <c r="B30" s="11" t="s">
        <v>1432</v>
      </c>
      <c r="C30" s="138">
        <f>IF(I332="NI-MCPPT-01",I370+J370,IF(I332="NI-MCPPT-02",I424+J424,IF(I332="NI-MCPPT-06",I477+J477," Error ")))</f>
        <v>51.661538461538463</v>
      </c>
      <c r="D30" s="118" t="s">
        <v>120</v>
      </c>
      <c r="E30" s="138">
        <f>IF(I332="NI-MCPPT-01",MAX(K369:K371),IF(I332="NI-MCPPT-02",MAX(K423:K425),IF(I332="NI-MCPPT-06",MAX(K476:K478)," Error ")))</f>
        <v>1.3</v>
      </c>
      <c r="F30" s="191" t="s">
        <v>280</v>
      </c>
      <c r="G30" s="192">
        <f>AVERAGE(E30:E31)</f>
        <v>1.3</v>
      </c>
      <c r="I30" s="455" t="s">
        <v>5</v>
      </c>
      <c r="J30" s="455" t="s">
        <v>5</v>
      </c>
      <c r="K30" s="455" t="s">
        <v>5</v>
      </c>
      <c r="L30" s="455" t="s">
        <v>5</v>
      </c>
      <c r="M30" s="172" t="s">
        <v>474</v>
      </c>
      <c r="N30" s="171" t="e">
        <f>N29/SQRT(COUNT(N25:N28))</f>
        <v>#DIV/0!</v>
      </c>
      <c r="P30" s="256">
        <v>13</v>
      </c>
      <c r="Q30" s="257" t="s">
        <v>154</v>
      </c>
      <c r="R30" s="262">
        <f>(VLOOKUP(R23,$I$93:$Z$396,17,FALSE))</f>
        <v>2.5157234716981131E-2</v>
      </c>
      <c r="W30" s="289"/>
      <c r="X30" s="289"/>
      <c r="Y30" s="289"/>
      <c r="Z30" s="289"/>
      <c r="AA30" s="289"/>
      <c r="AB30" s="181"/>
      <c r="AC30" s="175"/>
      <c r="AD30" s="378"/>
      <c r="AE30" s="289"/>
      <c r="AF30" s="289"/>
      <c r="AG30" s="289"/>
      <c r="AH30" s="181"/>
      <c r="AI30" s="175"/>
      <c r="AJ30" s="378"/>
      <c r="AK30" s="289"/>
      <c r="AL30" s="289"/>
      <c r="AM30" s="289"/>
      <c r="AN30" s="181"/>
      <c r="AO30" s="175"/>
      <c r="AP30" s="175"/>
      <c r="AQ30" s="175"/>
      <c r="AR30" s="175"/>
      <c r="AS30" s="175"/>
      <c r="AT30" s="175"/>
      <c r="AU30" s="175"/>
      <c r="AV30" s="175"/>
      <c r="AW30" s="175"/>
      <c r="AX30" s="175"/>
      <c r="AY30" s="175"/>
      <c r="AZ30" s="175"/>
      <c r="BA30" s="175"/>
      <c r="BB30" s="175"/>
      <c r="BC30" s="175"/>
      <c r="BD30" s="175"/>
      <c r="BE30" s="175"/>
      <c r="BF30" s="175"/>
      <c r="BG30" s="175"/>
      <c r="BH30" s="175"/>
      <c r="BI30" s="175"/>
      <c r="BJ30" s="175"/>
      <c r="BK30" s="175"/>
      <c r="BL30" s="300"/>
      <c r="BM30" s="175"/>
      <c r="BN30" s="175"/>
      <c r="BO30" s="175"/>
      <c r="BP30" s="175"/>
      <c r="BQ30" s="175"/>
      <c r="BR30" s="175"/>
      <c r="BS30" s="175"/>
      <c r="BT30" s="289"/>
      <c r="BU30" s="131"/>
    </row>
    <row r="31" spans="2:73" ht="15.6" thickBot="1" x14ac:dyDescent="0.3">
      <c r="B31" s="11" t="s">
        <v>1433</v>
      </c>
      <c r="C31" s="138">
        <f>IF(I332="NI-MCPPT-01",N370+O370,IF(I332="NI-MCPPT-02",N424+O424,IF(I332="NI-MCPPT-06",N477+O477," Error ")))</f>
        <v>51.661538461538463</v>
      </c>
      <c r="D31" s="118" t="s">
        <v>120</v>
      </c>
      <c r="E31" s="138">
        <f>IF(I332="NI-MCPPT-01",MAX(P369:P371),IF(I332="NI-MCPPT-02",MAX(P423:P425),IF(I332="NI-MCPPT-06",MAX(P476:P478)," Error ")))</f>
        <v>1.3</v>
      </c>
      <c r="F31" s="474"/>
      <c r="I31" s="24"/>
      <c r="J31" s="25"/>
      <c r="K31" s="25"/>
      <c r="L31" s="26" t="s">
        <v>167</v>
      </c>
      <c r="M31" s="79">
        <f>AVERAGE(M25:M29)-IF(M24="mg",C40,IF(M24="g",C40/1000,IF(M24="kg",C40/1000000,"Error")))</f>
        <v>0</v>
      </c>
      <c r="N31" s="27" t="str">
        <f>M24</f>
        <v>g</v>
      </c>
      <c r="P31" s="258">
        <v>14</v>
      </c>
      <c r="Q31" s="259" t="s">
        <v>155</v>
      </c>
      <c r="R31" s="262">
        <f>(VLOOKUP(R23,$I$93:$Z$396,18,FALSE))</f>
        <v>2.2151024279802885E-4</v>
      </c>
      <c r="W31" s="289"/>
      <c r="X31" s="191" t="s">
        <v>262</v>
      </c>
      <c r="Y31" s="375">
        <f>1-(Y17/Y19)*(Y21+(Y22*Y15)+(Y23*Y16)+((Y24+(Y25*Y15))*Y45)+((Y26+(Y27*Y15))*Y46))+(Y18/Y20)*((Y28+(Y29*Y46)))</f>
        <v>0.9996159694468264</v>
      </c>
      <c r="Z31" s="289"/>
      <c r="AA31" s="289"/>
      <c r="AB31" s="181"/>
      <c r="AC31" s="175"/>
      <c r="AD31" s="382"/>
      <c r="AE31" s="376"/>
      <c r="AF31" s="376"/>
      <c r="AG31" s="376"/>
      <c r="AH31" s="189"/>
      <c r="AI31" s="175"/>
      <c r="AJ31" s="382"/>
      <c r="AK31" s="376"/>
      <c r="AL31" s="376"/>
      <c r="AM31" s="376"/>
      <c r="AN31" s="189"/>
      <c r="AO31" s="175"/>
      <c r="AP31" s="377"/>
      <c r="AQ31" s="752" t="s">
        <v>284</v>
      </c>
      <c r="AR31" s="752"/>
      <c r="AS31" s="752"/>
      <c r="AT31" s="179"/>
      <c r="AU31" s="175"/>
      <c r="AV31" s="377"/>
      <c r="AW31" s="753" t="s">
        <v>177</v>
      </c>
      <c r="AX31" s="753"/>
      <c r="AY31" s="753"/>
      <c r="AZ31" s="179"/>
      <c r="BA31" s="175"/>
      <c r="BB31" s="175"/>
      <c r="BC31" s="175"/>
      <c r="BD31" s="175"/>
      <c r="BE31" s="175"/>
      <c r="BF31" s="175"/>
      <c r="BG31" s="175"/>
      <c r="BH31" s="175"/>
      <c r="BI31" s="175"/>
      <c r="BJ31" s="175"/>
      <c r="BK31" s="175"/>
      <c r="BL31" s="300"/>
      <c r="BM31" s="175"/>
      <c r="BN31" s="175"/>
      <c r="BO31" s="175"/>
      <c r="BP31" s="175"/>
      <c r="BQ31" s="175"/>
      <c r="BR31" s="175"/>
      <c r="BS31" s="175"/>
      <c r="BT31" s="409"/>
      <c r="BU31" s="408">
        <f>-AF48/AF43</f>
        <v>-0.1425973416739752</v>
      </c>
    </row>
    <row r="32" spans="2:73" ht="15.6" thickTop="1" x14ac:dyDescent="0.25">
      <c r="B32" s="754" t="s">
        <v>331</v>
      </c>
      <c r="C32" s="755"/>
      <c r="D32" s="755"/>
      <c r="E32" s="756"/>
      <c r="L32" s="174" t="s">
        <v>170</v>
      </c>
      <c r="M32" s="193">
        <f>IF(M24="mg",STDEV(M25:M28),IF(M24="g",STDEV(M25:M28)*1000,IF(M24="kg",STDEV(M25:M28)*1000000,"Error")))</f>
        <v>0</v>
      </c>
      <c r="N32" s="27" t="s">
        <v>119</v>
      </c>
      <c r="W32" s="289"/>
      <c r="X32" s="376"/>
      <c r="Y32" s="376"/>
      <c r="Z32" s="376"/>
      <c r="AA32" s="376"/>
      <c r="AB32" s="189"/>
      <c r="AC32" s="175"/>
      <c r="AD32" s="175"/>
      <c r="AE32" s="175"/>
      <c r="AF32" s="175"/>
      <c r="AG32" s="175"/>
      <c r="AH32" s="175"/>
      <c r="AI32" s="175"/>
      <c r="AJ32" s="175"/>
      <c r="AK32" s="175"/>
      <c r="AL32" s="175"/>
      <c r="AM32" s="175"/>
      <c r="AN32" s="175"/>
      <c r="AO32" s="175"/>
      <c r="AP32" s="378"/>
      <c r="AQ32" s="289"/>
      <c r="AR32" s="289"/>
      <c r="AS32" s="289"/>
      <c r="AT32" s="181"/>
      <c r="AU32" s="175"/>
      <c r="AV32" s="378"/>
      <c r="AW32" s="289"/>
      <c r="AX32" s="289"/>
      <c r="AY32" s="289"/>
      <c r="AZ32" s="181"/>
      <c r="BA32" s="175"/>
      <c r="BB32" s="175"/>
      <c r="BC32" s="175"/>
      <c r="BD32" s="175"/>
      <c r="BE32" s="175"/>
      <c r="BF32" s="175"/>
      <c r="BG32" s="175"/>
      <c r="BH32" s="175"/>
      <c r="BI32" s="175"/>
      <c r="BJ32" s="175"/>
      <c r="BK32" s="175"/>
      <c r="BL32" s="175"/>
      <c r="BM32" s="175"/>
      <c r="BN32" s="175"/>
      <c r="BO32" s="175"/>
      <c r="BP32" s="175"/>
      <c r="BQ32" s="175"/>
      <c r="BR32" s="175"/>
      <c r="BS32" s="175"/>
      <c r="BT32" s="409"/>
      <c r="BU32" s="131"/>
    </row>
    <row r="33" spans="2:73" ht="15.6" thickBot="1" x14ac:dyDescent="0.3">
      <c r="B33" s="10" t="s">
        <v>127</v>
      </c>
      <c r="C33" s="757" t="str">
        <f>datos!I345</f>
        <v>NI-MCPPT-06</v>
      </c>
      <c r="D33" s="758"/>
      <c r="E33" s="759"/>
      <c r="W33" s="289"/>
      <c r="X33" s="175"/>
      <c r="Y33" s="175"/>
      <c r="Z33" s="175"/>
      <c r="AA33" s="175"/>
      <c r="AB33" s="175"/>
      <c r="AC33" s="175"/>
      <c r="AD33" s="175"/>
      <c r="AE33" s="175"/>
      <c r="AF33" s="175"/>
      <c r="AG33" s="175"/>
      <c r="AH33" s="175"/>
      <c r="AI33" s="175"/>
      <c r="AJ33" s="175"/>
      <c r="AK33" s="175"/>
      <c r="AL33" s="175"/>
      <c r="AM33" s="175"/>
      <c r="AN33" s="175"/>
      <c r="AO33" s="175"/>
      <c r="AP33" s="378"/>
      <c r="AQ33" s="289" t="s">
        <v>285</v>
      </c>
      <c r="AR33" s="289"/>
      <c r="AS33" s="289" t="s">
        <v>286</v>
      </c>
      <c r="AT33" s="181"/>
      <c r="AU33" s="175"/>
      <c r="AV33" s="378"/>
      <c r="AW33" s="289" t="s">
        <v>285</v>
      </c>
      <c r="AX33" s="289"/>
      <c r="AY33" s="289" t="s">
        <v>286</v>
      </c>
      <c r="AZ33" s="181"/>
      <c r="BA33" s="175"/>
      <c r="BB33" s="175"/>
      <c r="BC33" s="175"/>
      <c r="BD33" s="175"/>
      <c r="BE33" s="175"/>
      <c r="BF33" s="175"/>
      <c r="BG33" s="175"/>
      <c r="BH33" s="175"/>
      <c r="BI33" s="175"/>
      <c r="BJ33" s="175"/>
      <c r="BK33" s="175"/>
      <c r="BL33" s="175"/>
      <c r="BM33" s="175"/>
      <c r="BN33" s="175"/>
      <c r="BO33" s="175"/>
      <c r="BP33" s="175"/>
      <c r="BQ33" s="175"/>
      <c r="BR33" s="175"/>
      <c r="BS33" s="175"/>
      <c r="BT33" s="772" t="s">
        <v>287</v>
      </c>
      <c r="BU33" s="131"/>
    </row>
    <row r="34" spans="2:73" ht="16.2" thickTop="1" thickBot="1" x14ac:dyDescent="0.3">
      <c r="B34" s="10" t="s">
        <v>1434</v>
      </c>
      <c r="C34" s="120">
        <f>VLOOKUP(Y333,X334:AB342,5,FALSE)</f>
        <v>100</v>
      </c>
      <c r="D34" s="127"/>
      <c r="E34" s="123"/>
      <c r="Q34" s="773" t="s">
        <v>190</v>
      </c>
      <c r="R34" s="774"/>
      <c r="S34" s="775"/>
      <c r="W34" s="289"/>
      <c r="X34" s="367"/>
      <c r="Y34" s="367"/>
      <c r="Z34" s="367"/>
      <c r="AA34" s="367"/>
      <c r="AB34" s="179"/>
      <c r="AC34" s="175"/>
      <c r="AD34" s="377"/>
      <c r="AE34" s="367"/>
      <c r="AF34" s="367"/>
      <c r="AG34" s="367"/>
      <c r="AH34" s="179"/>
      <c r="AI34" s="175"/>
      <c r="AJ34" s="175"/>
      <c r="AK34" s="175"/>
      <c r="AL34" s="175"/>
      <c r="AM34" s="175"/>
      <c r="AN34" s="175"/>
      <c r="AO34" s="175"/>
      <c r="AP34" s="378"/>
      <c r="AQ34" s="289"/>
      <c r="AR34" s="289"/>
      <c r="AS34" s="289"/>
      <c r="AT34" s="181"/>
      <c r="AU34" s="175"/>
      <c r="AV34" s="378"/>
      <c r="AW34" s="289"/>
      <c r="AX34" s="289"/>
      <c r="AY34" s="289"/>
      <c r="AZ34" s="181"/>
      <c r="BA34" s="175"/>
      <c r="BB34" s="175"/>
      <c r="BC34" s="175"/>
      <c r="BD34" s="175"/>
      <c r="BE34" s="175"/>
      <c r="BF34" s="175"/>
      <c r="BG34" s="175"/>
      <c r="BH34" s="175"/>
      <c r="BI34" s="175"/>
      <c r="BJ34" s="175"/>
      <c r="BK34" s="175"/>
      <c r="BL34" s="175"/>
      <c r="BM34" s="175"/>
      <c r="BN34" s="175"/>
      <c r="BO34" s="175"/>
      <c r="BP34" s="175"/>
      <c r="BQ34" s="175"/>
      <c r="BR34" s="175"/>
      <c r="BS34" s="175"/>
      <c r="BT34" s="772"/>
      <c r="BU34" s="131">
        <v>1</v>
      </c>
    </row>
    <row r="35" spans="2:73" ht="27" thickTop="1" x14ac:dyDescent="0.25">
      <c r="B35" s="11" t="s">
        <v>1435</v>
      </c>
      <c r="C35" s="138">
        <f>IF(I332="NI-MCPPT-06",I492+J492," Error ")</f>
        <v>100101.9</v>
      </c>
      <c r="D35" s="118" t="s">
        <v>120</v>
      </c>
      <c r="E35" s="138">
        <f>IF(I332="NI-MCPPT-06",MAX(K491:K493)," Error ")</f>
        <v>0.28000000000000003</v>
      </c>
      <c r="F35" s="191" t="s">
        <v>280</v>
      </c>
      <c r="G35" s="192">
        <f>AVERAGE(E35:E36)</f>
        <v>0.28000000000000003</v>
      </c>
      <c r="Q35" s="356" t="s">
        <v>191</v>
      </c>
      <c r="R35" s="357" t="s">
        <v>192</v>
      </c>
      <c r="S35" s="357" t="s">
        <v>193</v>
      </c>
      <c r="W35" s="289"/>
      <c r="X35" s="289"/>
      <c r="Y35" s="289"/>
      <c r="Z35" s="289"/>
      <c r="AA35" s="289"/>
      <c r="AB35" s="181"/>
      <c r="AC35" s="175"/>
      <c r="AD35" s="391"/>
      <c r="AE35" s="289"/>
      <c r="AF35" s="289"/>
      <c r="AG35" s="289"/>
      <c r="AH35" s="181"/>
      <c r="AI35" s="175"/>
      <c r="AJ35" s="175"/>
      <c r="AK35" s="175"/>
      <c r="AL35" s="175"/>
      <c r="AM35" s="175"/>
      <c r="AN35" s="175"/>
      <c r="AO35" s="175"/>
      <c r="AP35" s="378"/>
      <c r="AQ35" s="366" t="s">
        <v>235</v>
      </c>
      <c r="AR35" s="366">
        <f>AB8</f>
        <v>100101.9</v>
      </c>
      <c r="AS35" s="368" t="s">
        <v>236</v>
      </c>
      <c r="AT35" s="181"/>
      <c r="AU35" s="175"/>
      <c r="AV35" s="378"/>
      <c r="AW35" s="366" t="s">
        <v>185</v>
      </c>
      <c r="AX35" s="405">
        <f>AT28</f>
        <v>28.867852939443445</v>
      </c>
      <c r="AY35" s="368" t="s">
        <v>236</v>
      </c>
      <c r="AZ35" s="181"/>
      <c r="BA35" s="175"/>
      <c r="BB35" s="175"/>
      <c r="BC35" s="175"/>
      <c r="BD35" s="175"/>
      <c r="BE35" s="175"/>
      <c r="BF35" s="175"/>
      <c r="BG35" s="175"/>
      <c r="BH35" s="175"/>
      <c r="BI35" s="175"/>
      <c r="BJ35" s="175"/>
      <c r="BK35" s="175"/>
      <c r="BL35" s="175"/>
      <c r="BM35" s="175"/>
      <c r="BN35" s="175"/>
      <c r="BO35" s="175"/>
      <c r="BP35" s="175"/>
      <c r="BQ35" s="175"/>
      <c r="BR35" s="175"/>
      <c r="BS35" s="175"/>
      <c r="BT35" s="772"/>
      <c r="BU35" s="131"/>
    </row>
    <row r="36" spans="2:73" ht="15.6" thickBot="1" x14ac:dyDescent="0.3">
      <c r="B36" s="17" t="s">
        <v>1436</v>
      </c>
      <c r="C36" s="138">
        <f>IF(I332="NI-MCPPT-06",N492+O492," Error ")</f>
        <v>100101.9</v>
      </c>
      <c r="D36" s="139" t="s">
        <v>120</v>
      </c>
      <c r="E36" s="138">
        <f>IF(I332="NI-MCPPT-06",MAX(P491:P493)," Error ")</f>
        <v>0.28000000000000003</v>
      </c>
      <c r="F36" s="474"/>
      <c r="Q36" s="358"/>
      <c r="R36" s="359" t="s">
        <v>194</v>
      </c>
      <c r="S36" s="359" t="s">
        <v>194</v>
      </c>
      <c r="W36" s="289"/>
      <c r="X36" s="289"/>
      <c r="Y36" s="289"/>
      <c r="Z36" s="289"/>
      <c r="AA36" s="289"/>
      <c r="AB36" s="181"/>
      <c r="AC36" s="175"/>
      <c r="AD36" s="378"/>
      <c r="AE36" s="289"/>
      <c r="AF36" s="289"/>
      <c r="AG36" s="289"/>
      <c r="AH36" s="181"/>
      <c r="AI36" s="175"/>
      <c r="AJ36" s="175"/>
      <c r="AK36" s="175"/>
      <c r="AL36" s="175"/>
      <c r="AM36" s="175"/>
      <c r="AN36" s="175"/>
      <c r="AO36" s="175"/>
      <c r="AP36" s="378"/>
      <c r="AQ36" s="370" t="s">
        <v>264</v>
      </c>
      <c r="AR36" s="369">
        <v>2.8965459999999998E-2</v>
      </c>
      <c r="AS36" s="368" t="s">
        <v>265</v>
      </c>
      <c r="AT36" s="181"/>
      <c r="AU36" s="175"/>
      <c r="AV36" s="378"/>
      <c r="AW36" s="366" t="s">
        <v>174</v>
      </c>
      <c r="AX36" s="405">
        <f>BA28</f>
        <v>0.19999377183647876</v>
      </c>
      <c r="AY36" s="368" t="s">
        <v>7</v>
      </c>
      <c r="AZ36" s="181"/>
      <c r="BA36" s="175"/>
      <c r="BB36" s="175"/>
      <c r="BC36" s="175"/>
      <c r="BD36" s="175"/>
      <c r="BE36" s="175"/>
      <c r="BF36" s="175"/>
      <c r="BG36" s="175"/>
      <c r="BH36" s="175"/>
      <c r="BI36" s="175"/>
      <c r="BJ36" s="175"/>
      <c r="BK36" s="175"/>
      <c r="BL36" s="175"/>
      <c r="BM36" s="175"/>
      <c r="BN36" s="175"/>
      <c r="BO36" s="175"/>
      <c r="BP36" s="175"/>
      <c r="BQ36" s="175"/>
      <c r="BR36" s="175"/>
      <c r="BS36" s="175"/>
      <c r="BT36" s="131"/>
      <c r="BU36" s="131"/>
    </row>
    <row r="37" spans="2:73" ht="16.8" thickTop="1" thickBot="1" x14ac:dyDescent="0.3">
      <c r="B37" s="18"/>
      <c r="C37" s="18"/>
      <c r="D37" s="18"/>
      <c r="E37" s="18"/>
      <c r="Q37" s="358"/>
      <c r="R37" s="359" t="s">
        <v>195</v>
      </c>
      <c r="S37" s="359" t="s">
        <v>195</v>
      </c>
      <c r="W37" s="289"/>
      <c r="X37" s="289"/>
      <c r="Y37" s="289"/>
      <c r="Z37" s="289"/>
      <c r="AA37" s="289"/>
      <c r="AB37" s="181"/>
      <c r="AC37" s="175"/>
      <c r="AD37" s="378"/>
      <c r="AE37" s="289"/>
      <c r="AF37" s="289"/>
      <c r="AG37" s="289"/>
      <c r="AH37" s="181"/>
      <c r="AI37" s="175"/>
      <c r="AJ37" s="175"/>
      <c r="AK37" s="175"/>
      <c r="AL37" s="175"/>
      <c r="AM37" s="175"/>
      <c r="AN37" s="175"/>
      <c r="AO37" s="175"/>
      <c r="AP37" s="378"/>
      <c r="AQ37" s="366" t="s">
        <v>262</v>
      </c>
      <c r="AR37" s="387">
        <f>Y31</f>
        <v>0.9996159694468264</v>
      </c>
      <c r="AS37" s="368"/>
      <c r="AT37" s="181"/>
      <c r="AU37" s="175"/>
      <c r="AV37" s="378"/>
      <c r="AW37" s="366" t="s">
        <v>288</v>
      </c>
      <c r="AX37" s="405">
        <f>BH29</f>
        <v>6.506407098647712E-3</v>
      </c>
      <c r="AY37" s="366"/>
      <c r="AZ37" s="181"/>
      <c r="BA37" s="175"/>
      <c r="BB37" s="175"/>
      <c r="BC37" s="175"/>
      <c r="BD37" s="175"/>
      <c r="BE37" s="175"/>
      <c r="BF37" s="175"/>
      <c r="BG37" s="175"/>
      <c r="BH37" s="175"/>
      <c r="BI37" s="175"/>
      <c r="BJ37" s="175"/>
      <c r="BK37" s="175"/>
      <c r="BL37" s="175"/>
      <c r="BM37" s="175"/>
      <c r="BN37" s="175"/>
      <c r="BO37" s="175"/>
      <c r="BP37" s="175"/>
      <c r="BQ37" s="175"/>
      <c r="BR37" s="175"/>
      <c r="BS37" s="175"/>
      <c r="BT37" s="131"/>
      <c r="BU37" s="131"/>
    </row>
    <row r="38" spans="2:73" ht="15" thickTop="1" thickBot="1" x14ac:dyDescent="0.3">
      <c r="B38" s="760" t="s">
        <v>150</v>
      </c>
      <c r="C38" s="19">
        <f>C10</f>
        <v>0</v>
      </c>
      <c r="D38" s="20" t="s">
        <v>119</v>
      </c>
      <c r="E38" s="291" t="s">
        <v>128</v>
      </c>
      <c r="P38" s="360" t="s">
        <v>197</v>
      </c>
      <c r="Q38" s="360" t="s">
        <v>196</v>
      </c>
      <c r="R38" s="361">
        <v>21400</v>
      </c>
      <c r="S38" s="361">
        <v>150</v>
      </c>
      <c r="T38" s="360" t="s">
        <v>197</v>
      </c>
      <c r="W38" s="289"/>
      <c r="X38" s="366" t="s">
        <v>223</v>
      </c>
      <c r="Y38" s="289"/>
      <c r="Z38" s="289"/>
      <c r="AA38" s="289"/>
      <c r="AB38" s="181"/>
      <c r="AC38" s="175"/>
      <c r="AD38" s="378"/>
      <c r="AE38" s="366" t="s">
        <v>223</v>
      </c>
      <c r="AF38" s="289"/>
      <c r="AG38" s="366" t="s">
        <v>224</v>
      </c>
      <c r="AH38" s="181"/>
      <c r="AI38" s="175"/>
      <c r="AJ38" s="175"/>
      <c r="AK38" s="175"/>
      <c r="AL38" s="175"/>
      <c r="AM38" s="175"/>
      <c r="AN38" s="175"/>
      <c r="AO38" s="175"/>
      <c r="AP38" s="378"/>
      <c r="AQ38" s="366" t="s">
        <v>266</v>
      </c>
      <c r="AR38" s="366">
        <v>8.3144621000000001</v>
      </c>
      <c r="AS38" s="368" t="s">
        <v>267</v>
      </c>
      <c r="AT38" s="181"/>
      <c r="AU38" s="175" t="s">
        <v>194</v>
      </c>
      <c r="AV38" s="378"/>
      <c r="AW38" s="366" t="s">
        <v>289</v>
      </c>
      <c r="AX38" s="406">
        <f>BM16</f>
        <v>2.608364424399838E-5</v>
      </c>
      <c r="AY38" s="366"/>
      <c r="AZ38" s="181"/>
      <c r="BA38" s="175"/>
      <c r="BB38" s="175"/>
      <c r="BC38" s="175"/>
      <c r="BD38" s="175"/>
      <c r="BE38" s="175"/>
      <c r="BF38" s="175"/>
      <c r="BG38" s="175"/>
      <c r="BH38" s="175"/>
      <c r="BI38" s="175"/>
      <c r="BJ38" s="175"/>
      <c r="BK38" s="175"/>
      <c r="BL38" s="175"/>
      <c r="BM38" s="175"/>
      <c r="BN38" s="175"/>
      <c r="BO38" s="175"/>
      <c r="BP38" s="175"/>
      <c r="BQ38" s="175"/>
      <c r="BR38" s="175"/>
      <c r="BS38" s="175"/>
      <c r="BT38" s="175"/>
      <c r="BU38" s="175"/>
    </row>
    <row r="39" spans="2:73" ht="25.8" thickBot="1" x14ac:dyDescent="0.3">
      <c r="B39" s="761"/>
      <c r="C39" s="21">
        <f>IF(D7="mg",C7,IF(D7="g",C7*1000,IF(D7="kg",C7*1000000,IF(D7="lb",(C7/2.20462)*1000000,IF(D7="oz",C7*28349.5)))))</f>
        <v>0</v>
      </c>
      <c r="D39" s="22" t="s">
        <v>119</v>
      </c>
      <c r="E39" s="292" t="s">
        <v>129</v>
      </c>
      <c r="P39" s="362" t="s">
        <v>199</v>
      </c>
      <c r="Q39" s="362" t="s">
        <v>198</v>
      </c>
      <c r="R39" s="363">
        <v>8600</v>
      </c>
      <c r="S39" s="363">
        <v>170</v>
      </c>
      <c r="T39" s="362" t="s">
        <v>199</v>
      </c>
      <c r="W39" s="289"/>
      <c r="X39" s="289"/>
      <c r="Y39" s="289"/>
      <c r="Z39" s="289"/>
      <c r="AA39" s="289"/>
      <c r="AB39" s="181"/>
      <c r="AC39" s="175"/>
      <c r="AD39" s="378"/>
      <c r="AE39" s="289"/>
      <c r="AF39" s="289"/>
      <c r="AG39" s="289"/>
      <c r="AH39" s="181"/>
      <c r="AI39" s="175"/>
      <c r="AJ39" s="175"/>
      <c r="AK39" s="175"/>
      <c r="AL39" s="175"/>
      <c r="AM39" s="175"/>
      <c r="AN39" s="175"/>
      <c r="AO39" s="175"/>
      <c r="AP39" s="378"/>
      <c r="AQ39" s="370" t="s">
        <v>244</v>
      </c>
      <c r="AR39" s="402">
        <f>Y19</f>
        <v>292.91663664122137</v>
      </c>
      <c r="AS39" s="368" t="s">
        <v>243</v>
      </c>
      <c r="AT39" s="181"/>
      <c r="AU39" s="175"/>
      <c r="AV39" s="378"/>
      <c r="AW39" s="289"/>
      <c r="AX39" s="289"/>
      <c r="AY39" s="289"/>
      <c r="AZ39" s="181"/>
      <c r="BA39" s="175"/>
      <c r="BB39" s="175"/>
      <c r="BC39" s="175"/>
      <c r="BD39" s="175"/>
      <c r="BE39" s="175"/>
      <c r="BF39" s="175"/>
      <c r="BG39" s="175"/>
      <c r="BH39" s="175"/>
      <c r="BI39" s="175"/>
      <c r="BJ39" s="175"/>
      <c r="BK39" s="175"/>
      <c r="BL39" s="175"/>
      <c r="BM39" s="175"/>
      <c r="BN39" s="175"/>
      <c r="BO39" s="175"/>
      <c r="BP39" s="175"/>
      <c r="BQ39" s="175"/>
      <c r="BR39" s="175"/>
      <c r="BS39" s="175"/>
      <c r="BT39" s="175"/>
      <c r="BU39" s="175"/>
    </row>
    <row r="40" spans="2:73" ht="14.4" thickBot="1" x14ac:dyDescent="0.3">
      <c r="B40" s="293" t="s">
        <v>130</v>
      </c>
      <c r="C40" s="762">
        <f>C39-C38</f>
        <v>0</v>
      </c>
      <c r="D40" s="762"/>
      <c r="E40" s="23" t="s">
        <v>119</v>
      </c>
      <c r="P40" s="362" t="s">
        <v>201</v>
      </c>
      <c r="Q40" s="362" t="s">
        <v>200</v>
      </c>
      <c r="R40" s="363">
        <v>8400</v>
      </c>
      <c r="S40" s="363">
        <v>170</v>
      </c>
      <c r="T40" s="362" t="s">
        <v>201</v>
      </c>
      <c r="W40" s="289"/>
      <c r="X40" s="366" t="s">
        <v>263</v>
      </c>
      <c r="Y40" s="366">
        <f>AD8/100</f>
        <v>0.51661538461538459</v>
      </c>
      <c r="Z40" s="289"/>
      <c r="AA40" s="289"/>
      <c r="AB40" s="181"/>
      <c r="AC40" s="175"/>
      <c r="AD40" s="378"/>
      <c r="AE40" s="366" t="s">
        <v>235</v>
      </c>
      <c r="AF40" s="366">
        <f>AB8</f>
        <v>100101.9</v>
      </c>
      <c r="AG40" s="368" t="s">
        <v>236</v>
      </c>
      <c r="AH40" s="181"/>
      <c r="AI40" s="175"/>
      <c r="AJ40" s="175"/>
      <c r="AK40" s="175"/>
      <c r="AL40" s="175"/>
      <c r="AM40" s="175"/>
      <c r="AN40" s="175"/>
      <c r="AO40" s="175"/>
      <c r="AP40" s="378"/>
      <c r="AQ40" s="366" t="s">
        <v>268</v>
      </c>
      <c r="AR40" s="390">
        <f>Y45</f>
        <v>1.1946135730806714E-2</v>
      </c>
      <c r="AS40" s="368"/>
      <c r="AT40" s="181"/>
      <c r="AU40" s="175"/>
      <c r="AV40" s="378"/>
      <c r="AW40" s="289"/>
      <c r="AX40" s="289"/>
      <c r="AY40" s="289"/>
      <c r="AZ40" s="181"/>
      <c r="BA40" s="175"/>
      <c r="BB40" s="175"/>
      <c r="BC40" s="175"/>
      <c r="BD40" s="175"/>
      <c r="BE40" s="175"/>
      <c r="BF40" s="175"/>
      <c r="BG40" s="175"/>
      <c r="BH40" s="175"/>
      <c r="BI40" s="175"/>
      <c r="BJ40" s="175"/>
      <c r="BK40" s="175"/>
      <c r="BL40" s="175"/>
      <c r="BM40" s="175"/>
      <c r="BN40" s="175"/>
      <c r="BO40" s="175"/>
      <c r="BP40" s="175"/>
      <c r="BQ40" s="410" t="s">
        <v>290</v>
      </c>
      <c r="BR40" s="411">
        <v>8.3144621000000001</v>
      </c>
      <c r="BS40" s="412" t="s">
        <v>291</v>
      </c>
      <c r="BT40" s="175"/>
      <c r="BU40" s="175"/>
    </row>
    <row r="41" spans="2:73" ht="25.8" thickBot="1" x14ac:dyDescent="0.3">
      <c r="P41" s="362" t="s">
        <v>203</v>
      </c>
      <c r="Q41" s="362" t="s">
        <v>202</v>
      </c>
      <c r="R41" s="363">
        <v>7950</v>
      </c>
      <c r="S41" s="363">
        <v>140</v>
      </c>
      <c r="T41" s="362" t="s">
        <v>203</v>
      </c>
      <c r="W41" s="289"/>
      <c r="X41" s="366" t="s">
        <v>246</v>
      </c>
      <c r="Y41" s="387">
        <f>AF20</f>
        <v>1.0039820028174995</v>
      </c>
      <c r="Z41" s="289"/>
      <c r="AA41" s="289"/>
      <c r="AB41" s="181"/>
      <c r="AC41" s="175"/>
      <c r="AD41" s="378"/>
      <c r="AE41" s="370" t="s">
        <v>264</v>
      </c>
      <c r="AF41" s="369">
        <v>2.8965459999999998E-2</v>
      </c>
      <c r="AG41" s="368" t="s">
        <v>265</v>
      </c>
      <c r="AH41" s="181"/>
      <c r="AI41" s="175"/>
      <c r="AJ41" s="175"/>
      <c r="AK41" s="175"/>
      <c r="AL41" s="175"/>
      <c r="AM41" s="175"/>
      <c r="AN41" s="175"/>
      <c r="AO41" s="175"/>
      <c r="AP41" s="378"/>
      <c r="AQ41" s="366" t="s">
        <v>270</v>
      </c>
      <c r="AR41" s="369">
        <v>1.8015280000000002E-2</v>
      </c>
      <c r="AS41" s="368" t="s">
        <v>265</v>
      </c>
      <c r="AT41" s="181"/>
      <c r="AU41" s="175"/>
      <c r="AV41" s="378"/>
      <c r="AW41" s="289"/>
      <c r="AX41" s="289"/>
      <c r="AY41" s="289"/>
      <c r="AZ41" s="181"/>
      <c r="BA41" s="175"/>
      <c r="BB41" s="175"/>
      <c r="BC41" s="175"/>
      <c r="BD41" s="175"/>
      <c r="BE41" s="175"/>
      <c r="BF41" s="175"/>
      <c r="BG41" s="175"/>
      <c r="BH41" s="175"/>
      <c r="BI41" s="175"/>
      <c r="BJ41" s="175"/>
      <c r="BK41" s="175"/>
      <c r="BL41" s="175"/>
      <c r="BM41" s="175"/>
      <c r="BN41" s="175"/>
      <c r="BO41" s="175"/>
      <c r="BP41" s="175"/>
      <c r="BQ41" s="413" t="s">
        <v>120</v>
      </c>
      <c r="BR41" s="414">
        <v>7.5000000000000002E-6</v>
      </c>
      <c r="BS41" s="415" t="s">
        <v>291</v>
      </c>
      <c r="BT41" s="175"/>
      <c r="BU41" s="175"/>
    </row>
    <row r="42" spans="2:73" ht="25.8" thickBot="1" x14ac:dyDescent="0.3">
      <c r="P42" s="362" t="s">
        <v>205</v>
      </c>
      <c r="Q42" s="362" t="s">
        <v>204</v>
      </c>
      <c r="R42" s="363">
        <v>7700</v>
      </c>
      <c r="S42" s="363">
        <v>200</v>
      </c>
      <c r="T42" s="362" t="s">
        <v>205</v>
      </c>
      <c r="W42" s="289"/>
      <c r="X42" s="366" t="s">
        <v>249</v>
      </c>
      <c r="Y42" s="387">
        <f>AL21</f>
        <v>2305.5603919950672</v>
      </c>
      <c r="Z42" s="289"/>
      <c r="AA42" s="388"/>
      <c r="AB42" s="389"/>
      <c r="AC42" s="301"/>
      <c r="AD42" s="378"/>
      <c r="AE42" s="366" t="s">
        <v>262</v>
      </c>
      <c r="AF42" s="387">
        <f>Y31</f>
        <v>0.9996159694468264</v>
      </c>
      <c r="AG42" s="368"/>
      <c r="AH42" s="181"/>
      <c r="AI42" s="175"/>
      <c r="AJ42" s="175"/>
      <c r="AK42" s="175"/>
      <c r="AL42" s="175"/>
      <c r="AM42" s="175"/>
      <c r="AN42" s="175"/>
      <c r="AO42" s="175"/>
      <c r="AP42" s="378"/>
      <c r="AQ42" s="366" t="s">
        <v>246</v>
      </c>
      <c r="AR42" s="403">
        <f>AF20</f>
        <v>1.0039820028174995</v>
      </c>
      <c r="AS42" s="366"/>
      <c r="AT42" s="181"/>
      <c r="AU42" s="175"/>
      <c r="AV42" s="378"/>
      <c r="AW42" s="289"/>
      <c r="AX42" s="289"/>
      <c r="AY42" s="289"/>
      <c r="AZ42" s="181"/>
      <c r="BA42" s="175"/>
      <c r="BB42" s="175"/>
      <c r="BC42" s="175"/>
      <c r="BD42" s="175"/>
      <c r="BE42" s="175"/>
      <c r="BF42" s="175"/>
      <c r="BG42" s="175"/>
      <c r="BH42" s="175"/>
      <c r="BI42" s="175"/>
      <c r="BJ42" s="175"/>
      <c r="BK42" s="175"/>
      <c r="BL42" s="175"/>
      <c r="BM42" s="175"/>
      <c r="BN42" s="175"/>
      <c r="BO42" s="175"/>
      <c r="BP42" s="175"/>
      <c r="BQ42" s="724" t="s">
        <v>292</v>
      </c>
      <c r="BR42" s="725"/>
      <c r="BS42" s="726"/>
      <c r="BT42" s="175"/>
      <c r="BU42" s="175"/>
    </row>
    <row r="43" spans="2:73" ht="28.8" thickBot="1" x14ac:dyDescent="0.35">
      <c r="L43" s="290" t="s">
        <v>329</v>
      </c>
      <c r="P43" s="362" t="s">
        <v>207</v>
      </c>
      <c r="Q43" s="362" t="s">
        <v>206</v>
      </c>
      <c r="R43" s="363">
        <v>7800</v>
      </c>
      <c r="S43" s="363">
        <v>200</v>
      </c>
      <c r="T43" s="362" t="s">
        <v>207</v>
      </c>
      <c r="W43" s="289"/>
      <c r="X43" s="366" t="s">
        <v>235</v>
      </c>
      <c r="Y43" s="366">
        <f>AB8</f>
        <v>100101.9</v>
      </c>
      <c r="Z43" s="289"/>
      <c r="AA43" s="388"/>
      <c r="AB43" s="181"/>
      <c r="AC43" s="175"/>
      <c r="AD43" s="378"/>
      <c r="AE43" s="366" t="s">
        <v>266</v>
      </c>
      <c r="AF43" s="366">
        <v>8.3144621000000001</v>
      </c>
      <c r="AG43" s="368" t="s">
        <v>267</v>
      </c>
      <c r="AH43" s="181"/>
      <c r="AI43" s="175"/>
      <c r="AJ43" s="175"/>
      <c r="AK43" s="175"/>
      <c r="AL43" s="175"/>
      <c r="AM43" s="175"/>
      <c r="AN43" s="175"/>
      <c r="AO43" s="175"/>
      <c r="AP43" s="378"/>
      <c r="AQ43" s="366" t="s">
        <v>249</v>
      </c>
      <c r="AR43" s="404">
        <f>AL21</f>
        <v>2305.5603919950672</v>
      </c>
      <c r="AS43" s="366"/>
      <c r="AT43" s="181"/>
      <c r="AU43" s="175"/>
      <c r="AV43" s="378"/>
      <c r="AW43" s="289"/>
      <c r="AX43" s="289"/>
      <c r="AY43" s="289"/>
      <c r="AZ43" s="181"/>
      <c r="BA43" s="175"/>
      <c r="BB43" s="175"/>
      <c r="BC43" s="175"/>
      <c r="BD43" s="175"/>
      <c r="BE43" s="175"/>
      <c r="BF43" s="175"/>
      <c r="BG43" s="175"/>
      <c r="BH43" s="175"/>
      <c r="BI43" s="175"/>
      <c r="BJ43" s="175"/>
      <c r="BK43" s="175"/>
      <c r="BL43" s="175"/>
      <c r="BM43" s="175"/>
      <c r="BN43" s="175"/>
      <c r="BO43" s="175"/>
      <c r="BP43" s="175"/>
      <c r="BQ43" s="727"/>
      <c r="BR43" s="728"/>
      <c r="BS43" s="729"/>
      <c r="BT43" s="175"/>
      <c r="BU43" s="175"/>
    </row>
    <row r="44" spans="2:73" ht="39" thickBot="1" x14ac:dyDescent="0.3">
      <c r="L44" s="290"/>
      <c r="P44" s="362" t="s">
        <v>209</v>
      </c>
      <c r="Q44" s="362" t="s">
        <v>208</v>
      </c>
      <c r="R44" s="363">
        <v>7700</v>
      </c>
      <c r="S44" s="363">
        <v>400</v>
      </c>
      <c r="T44" s="362" t="s">
        <v>209</v>
      </c>
      <c r="W44" s="289"/>
      <c r="X44" s="289"/>
      <c r="Y44" s="289"/>
      <c r="Z44" s="289"/>
      <c r="AA44" s="289"/>
      <c r="AB44" s="181"/>
      <c r="AC44" s="175"/>
      <c r="AD44" s="378"/>
      <c r="AE44" s="370" t="s">
        <v>244</v>
      </c>
      <c r="AF44" s="366">
        <f>Y19</f>
        <v>292.91663664122137</v>
      </c>
      <c r="AG44" s="368" t="s">
        <v>243</v>
      </c>
      <c r="AH44" s="181"/>
      <c r="AI44" s="175"/>
      <c r="AJ44" s="175"/>
      <c r="AK44" s="175"/>
      <c r="AL44" s="175"/>
      <c r="AM44" s="175"/>
      <c r="AN44" s="175"/>
      <c r="AO44" s="175"/>
      <c r="AP44" s="378"/>
      <c r="AQ44" s="289"/>
      <c r="AR44" s="289"/>
      <c r="AS44" s="289"/>
      <c r="AT44" s="181"/>
      <c r="AU44" s="175"/>
      <c r="AV44" s="378"/>
      <c r="AW44" s="289"/>
      <c r="AX44" s="289"/>
      <c r="AY44" s="289"/>
      <c r="AZ44" s="181"/>
      <c r="BA44" s="175"/>
      <c r="BB44" s="175"/>
      <c r="BC44" s="175"/>
      <c r="BD44" s="175"/>
      <c r="BE44" s="175"/>
      <c r="BF44" s="175"/>
      <c r="BG44" s="175"/>
      <c r="BH44" s="175"/>
      <c r="BI44" s="175"/>
      <c r="BJ44" s="175"/>
      <c r="BK44" s="175"/>
      <c r="BL44" s="175"/>
      <c r="BM44" s="175"/>
      <c r="BN44" s="175"/>
      <c r="BO44" s="175"/>
      <c r="BP44" s="175"/>
      <c r="BQ44" s="744" t="s">
        <v>293</v>
      </c>
      <c r="BR44" s="745"/>
      <c r="BS44" s="746"/>
      <c r="BT44" s="175"/>
      <c r="BU44" s="175"/>
    </row>
    <row r="45" spans="2:73" ht="25.8" thickBot="1" x14ac:dyDescent="0.35">
      <c r="B45" s="750" t="s">
        <v>301</v>
      </c>
      <c r="C45" s="750"/>
      <c r="D45" s="751" t="s">
        <v>302</v>
      </c>
      <c r="E45" s="751"/>
      <c r="F45" s="751"/>
      <c r="G45" s="751" t="s">
        <v>303</v>
      </c>
      <c r="H45" s="751"/>
      <c r="I45" s="751"/>
      <c r="J45" s="294" t="s">
        <v>304</v>
      </c>
      <c r="K45" s="294" t="s">
        <v>305</v>
      </c>
      <c r="L45" s="295"/>
      <c r="P45" s="362" t="s">
        <v>211</v>
      </c>
      <c r="Q45" s="362" t="s">
        <v>210</v>
      </c>
      <c r="R45" s="363">
        <v>7100</v>
      </c>
      <c r="S45" s="363">
        <v>600</v>
      </c>
      <c r="T45" s="362" t="s">
        <v>211</v>
      </c>
      <c r="W45" s="289"/>
      <c r="X45" s="191" t="s">
        <v>268</v>
      </c>
      <c r="Y45" s="390">
        <f>((Y40*Y41)*(Y42/Y43))</f>
        <v>1.1946135730806714E-2</v>
      </c>
      <c r="Z45" s="289"/>
      <c r="AA45" s="289"/>
      <c r="AB45" s="181"/>
      <c r="AC45" s="175"/>
      <c r="AD45" s="378"/>
      <c r="AE45" s="366" t="s">
        <v>268</v>
      </c>
      <c r="AF45" s="390">
        <f>Y45</f>
        <v>1.1946135730806714E-2</v>
      </c>
      <c r="AG45" s="368"/>
      <c r="AH45" s="181"/>
      <c r="AI45" s="175"/>
      <c r="AJ45" s="175"/>
      <c r="AK45" s="175"/>
      <c r="AL45" s="175"/>
      <c r="AM45" s="175"/>
      <c r="AN45" s="175"/>
      <c r="AO45" s="175"/>
      <c r="AP45" s="378"/>
      <c r="AQ45" s="289"/>
      <c r="AR45" s="289"/>
      <c r="AS45" s="289"/>
      <c r="AT45" s="181"/>
      <c r="AU45" s="175"/>
      <c r="AV45" s="378"/>
      <c r="AW45" s="289"/>
      <c r="AX45" s="289"/>
      <c r="AY45" s="289"/>
      <c r="AZ45" s="181"/>
      <c r="BA45" s="175"/>
      <c r="BB45" s="175"/>
      <c r="BC45" s="175"/>
      <c r="BD45" s="175"/>
      <c r="BE45" s="175"/>
      <c r="BF45" s="175"/>
      <c r="BG45" s="175"/>
      <c r="BH45" s="175"/>
      <c r="BI45" s="175"/>
      <c r="BJ45" s="175"/>
      <c r="BK45" s="175"/>
      <c r="BL45" s="175"/>
      <c r="BM45" s="175"/>
      <c r="BN45" s="175"/>
      <c r="BO45" s="175"/>
      <c r="BP45" s="175"/>
      <c r="BQ45" s="747"/>
      <c r="BR45" s="748"/>
      <c r="BS45" s="749"/>
      <c r="BT45" s="175"/>
      <c r="BU45" s="175"/>
    </row>
    <row r="46" spans="2:73" ht="23.4" thickBot="1" x14ac:dyDescent="0.35">
      <c r="B46" s="302" t="s">
        <v>334</v>
      </c>
      <c r="C46" s="303">
        <f>C10+C11</f>
        <v>0</v>
      </c>
      <c r="D46" s="704" t="s">
        <v>338</v>
      </c>
      <c r="E46" s="705"/>
      <c r="F46" s="304" t="e">
        <f>(1-((C52-1.2)/C56))/(1-((C52-1.2)/C54))</f>
        <v>#DIV/0!</v>
      </c>
      <c r="G46" s="791" t="s">
        <v>344</v>
      </c>
      <c r="H46" s="792"/>
      <c r="I46" s="305">
        <f>SQRT(C12^2+P12^2)</f>
        <v>0</v>
      </c>
      <c r="J46" s="306" t="e">
        <f>I46*F46</f>
        <v>#DIV/0!</v>
      </c>
      <c r="K46" s="706" t="e">
        <f>(100*(J46^2)/($C$63^2))</f>
        <v>#DIV/0!</v>
      </c>
      <c r="L46" s="793">
        <v>100</v>
      </c>
      <c r="P46" s="364" t="s">
        <v>213</v>
      </c>
      <c r="Q46" s="364" t="s">
        <v>212</v>
      </c>
      <c r="R46" s="365">
        <v>2700</v>
      </c>
      <c r="S46" s="365">
        <v>130</v>
      </c>
      <c r="T46" s="364" t="s">
        <v>213</v>
      </c>
      <c r="W46" s="289"/>
      <c r="X46" s="191" t="s">
        <v>269</v>
      </c>
      <c r="Y46" s="390">
        <f>Y45^2</f>
        <v>1.4271015889885685E-4</v>
      </c>
      <c r="Z46" s="289"/>
      <c r="AA46" s="289"/>
      <c r="AB46" s="181"/>
      <c r="AC46" s="175"/>
      <c r="AD46" s="378"/>
      <c r="AE46" s="366" t="s">
        <v>270</v>
      </c>
      <c r="AF46" s="369">
        <v>1.8015280000000002E-2</v>
      </c>
      <c r="AG46" s="368" t="s">
        <v>265</v>
      </c>
      <c r="AH46" s="181"/>
      <c r="AI46" s="175"/>
      <c r="AJ46" s="175"/>
      <c r="AK46" s="175"/>
      <c r="AL46" s="175"/>
      <c r="AM46" s="175"/>
      <c r="AN46" s="175"/>
      <c r="AO46" s="175"/>
      <c r="AP46" s="378"/>
      <c r="AQ46" s="289"/>
      <c r="AR46" s="289"/>
      <c r="AS46" s="722">
        <f>BU12*AF48</f>
        <v>1.1856201929090175E-5</v>
      </c>
      <c r="AT46" s="181"/>
      <c r="AU46" s="175"/>
      <c r="AV46" s="378"/>
      <c r="AW46" s="723">
        <f>SQRT((AS46*AX35)^2+(AS49*AX36)^2+(AS52*AX37)^2+(AX38^2)+(AS57*BR41)^2)</f>
        <v>8.7961883786176595E-4</v>
      </c>
      <c r="AX46" s="289"/>
      <c r="AY46" s="289"/>
      <c r="AZ46" s="181"/>
      <c r="BA46" s="175"/>
      <c r="BB46" s="175"/>
      <c r="BC46" s="175"/>
      <c r="BD46" s="175"/>
      <c r="BE46" s="175"/>
      <c r="BF46" s="175"/>
      <c r="BG46" s="175"/>
      <c r="BH46" s="175"/>
      <c r="BI46" s="175"/>
      <c r="BJ46" s="175"/>
      <c r="BK46" s="175"/>
      <c r="BL46" s="175"/>
      <c r="BM46" s="175"/>
      <c r="BN46" s="175"/>
      <c r="BO46" s="175"/>
      <c r="BP46" s="175"/>
      <c r="BQ46" s="299"/>
      <c r="BR46" s="299"/>
      <c r="BS46" s="299"/>
      <c r="BT46" s="175"/>
      <c r="BU46" s="175"/>
    </row>
    <row r="47" spans="2:73" ht="15" thickTop="1" thickBot="1" x14ac:dyDescent="0.3">
      <c r="B47" s="307" t="s">
        <v>306</v>
      </c>
      <c r="C47" s="308" t="str">
        <f>E40</f>
        <v>mg</v>
      </c>
      <c r="D47" s="309"/>
      <c r="E47" s="310"/>
      <c r="F47" s="311"/>
      <c r="G47" s="795" t="s">
        <v>307</v>
      </c>
      <c r="H47" s="796"/>
      <c r="I47" s="312" t="s">
        <v>119</v>
      </c>
      <c r="J47" s="313"/>
      <c r="K47" s="707"/>
      <c r="L47" s="794"/>
      <c r="P47" s="364" t="s">
        <v>215</v>
      </c>
      <c r="Q47" s="364" t="s">
        <v>214</v>
      </c>
      <c r="R47" s="365">
        <v>11300</v>
      </c>
      <c r="S47" s="365">
        <v>150</v>
      </c>
      <c r="T47" s="364" t="s">
        <v>215</v>
      </c>
      <c r="W47" s="289"/>
      <c r="X47" s="289"/>
      <c r="Y47" s="289"/>
      <c r="Z47" s="289"/>
      <c r="AA47" s="289"/>
      <c r="AB47" s="181"/>
      <c r="AC47" s="175"/>
      <c r="AD47" s="378"/>
      <c r="AE47" s="289"/>
      <c r="AF47" s="289"/>
      <c r="AG47" s="289"/>
      <c r="AH47" s="181"/>
      <c r="AI47" s="175"/>
      <c r="AJ47" s="175"/>
      <c r="AK47" s="175"/>
      <c r="AL47" s="175"/>
      <c r="AM47" s="175"/>
      <c r="AN47" s="175"/>
      <c r="AO47" s="175"/>
      <c r="AP47" s="378"/>
      <c r="AQ47" s="289"/>
      <c r="AR47" s="289"/>
      <c r="AS47" s="723"/>
      <c r="AT47" s="181"/>
      <c r="AU47" s="175"/>
      <c r="AV47" s="378"/>
      <c r="AW47" s="723"/>
      <c r="AX47" s="289"/>
      <c r="AY47" s="289"/>
      <c r="AZ47" s="181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714" t="s">
        <v>294</v>
      </c>
      <c r="BR47" s="715"/>
      <c r="BS47" s="716"/>
      <c r="BT47" s="175"/>
      <c r="BU47" s="175"/>
    </row>
    <row r="48" spans="2:73" ht="19.8" thickTop="1" thickBot="1" x14ac:dyDescent="0.3">
      <c r="B48" s="302" t="s">
        <v>308</v>
      </c>
      <c r="C48" s="314">
        <f>IF(M24="mg",M31,IF(M24="g",M31*1000,IF(M24="kg",M31*1000000,"Error")))</f>
        <v>0</v>
      </c>
      <c r="D48" s="704" t="s">
        <v>339</v>
      </c>
      <c r="E48" s="705"/>
      <c r="F48" s="315" t="e">
        <f>(C50/(1-(C52-1.2)/C54))</f>
        <v>#DIV/0!</v>
      </c>
      <c r="G48" s="704" t="s">
        <v>345</v>
      </c>
      <c r="H48" s="705"/>
      <c r="I48" s="316">
        <f>M32/SQRT(COUNT(M25:M28))</f>
        <v>0</v>
      </c>
      <c r="J48" s="317" t="e">
        <f>+F48*I48</f>
        <v>#DIV/0!</v>
      </c>
      <c r="K48" s="706" t="e">
        <f>(100*(J48^2)/($C$63^2))</f>
        <v>#DIV/0!</v>
      </c>
      <c r="L48" s="708">
        <v>3</v>
      </c>
      <c r="W48" s="289"/>
      <c r="X48" s="289"/>
      <c r="Y48" s="289"/>
      <c r="Z48" s="289"/>
      <c r="AA48" s="289"/>
      <c r="AB48" s="181"/>
      <c r="AC48" s="175"/>
      <c r="AD48" s="378"/>
      <c r="AE48" s="191" t="s">
        <v>298</v>
      </c>
      <c r="AF48" s="392">
        <f>(AF40*AF41)/((AF42*AF43)*AF44)*(1-AF45*(1-(AF46/AF41)))</f>
        <v>1.1856201929090173</v>
      </c>
      <c r="AG48" s="289"/>
      <c r="AH48" s="181"/>
      <c r="AI48" s="175"/>
      <c r="AJ48" s="175"/>
      <c r="AK48" s="175"/>
      <c r="AL48" s="175"/>
      <c r="AM48" s="175"/>
      <c r="AN48" s="175"/>
      <c r="AO48" s="175"/>
      <c r="AP48" s="378"/>
      <c r="AQ48" s="289"/>
      <c r="AR48" s="289"/>
      <c r="AS48" s="289"/>
      <c r="AT48" s="181"/>
      <c r="AU48" s="175"/>
      <c r="AV48" s="378"/>
      <c r="AW48" s="289"/>
      <c r="AX48" s="289"/>
      <c r="AY48" s="289"/>
      <c r="AZ48" s="181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717"/>
      <c r="BR48" s="718"/>
      <c r="BS48" s="719"/>
      <c r="BT48" s="175"/>
      <c r="BU48" s="175"/>
    </row>
    <row r="49" spans="2:73" ht="17.399999999999999" x14ac:dyDescent="0.25">
      <c r="B49" s="307" t="s">
        <v>309</v>
      </c>
      <c r="C49" s="318" t="s">
        <v>119</v>
      </c>
      <c r="D49" s="319" t="s">
        <v>299</v>
      </c>
      <c r="E49" s="310"/>
      <c r="F49" s="308" t="s">
        <v>310</v>
      </c>
      <c r="G49" s="720" t="s">
        <v>346</v>
      </c>
      <c r="H49" s="721"/>
      <c r="I49" s="312" t="s">
        <v>119</v>
      </c>
      <c r="J49" s="313"/>
      <c r="K49" s="707"/>
      <c r="L49" s="709"/>
      <c r="W49" s="289"/>
      <c r="X49" s="376"/>
      <c r="Y49" s="376"/>
      <c r="Z49" s="376"/>
      <c r="AA49" s="376"/>
      <c r="AB49" s="189"/>
      <c r="AC49" s="175"/>
      <c r="AD49" s="382"/>
      <c r="AE49" s="376"/>
      <c r="AF49" s="376"/>
      <c r="AG49" s="376"/>
      <c r="AH49" s="189"/>
      <c r="AI49" s="175"/>
      <c r="AJ49" s="175"/>
      <c r="AK49" s="175"/>
      <c r="AL49" s="175"/>
      <c r="AM49" s="175"/>
      <c r="AN49" s="175"/>
      <c r="AO49" s="175"/>
      <c r="AP49" s="378"/>
      <c r="AQ49" s="289"/>
      <c r="AR49" s="289"/>
      <c r="AS49" s="722">
        <f>BU16*AF48</f>
        <v>4.0311086558906589E-3</v>
      </c>
      <c r="AT49" s="181"/>
      <c r="AU49" s="175"/>
      <c r="AV49" s="366">
        <f>AW46*2</f>
        <v>1.7592376757235319E-3</v>
      </c>
      <c r="AW49" s="368" t="s">
        <v>295</v>
      </c>
      <c r="AX49" s="289"/>
      <c r="AY49" s="289"/>
      <c r="AZ49" s="181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724" t="s">
        <v>296</v>
      </c>
      <c r="BR49" s="725"/>
      <c r="BS49" s="726"/>
      <c r="BT49" s="175"/>
      <c r="BU49" s="175"/>
    </row>
    <row r="50" spans="2:73" ht="24.6" x14ac:dyDescent="0.4">
      <c r="B50" s="320" t="s">
        <v>311</v>
      </c>
      <c r="C50" s="321" t="e">
        <f>AVERAGE(N25:N28)</f>
        <v>#DIV/0!</v>
      </c>
      <c r="D50" s="733" t="s">
        <v>340</v>
      </c>
      <c r="E50" s="733"/>
      <c r="F50" s="322">
        <f>(C48/(1-(C52-1.2)/C54))</f>
        <v>0</v>
      </c>
      <c r="G50" s="734" t="s">
        <v>347</v>
      </c>
      <c r="H50" s="735"/>
      <c r="I50" s="323" t="e">
        <f>N30</f>
        <v>#DIV/0!</v>
      </c>
      <c r="J50" s="324" t="e">
        <f>F50*I50</f>
        <v>#DIV/0!</v>
      </c>
      <c r="K50" s="706" t="e">
        <f>(100*(J50^2)/($C$63^2))</f>
        <v>#DIV/0!</v>
      </c>
      <c r="L50" s="708">
        <v>3</v>
      </c>
      <c r="W50" s="289"/>
      <c r="X50" s="175"/>
      <c r="Y50" s="175"/>
      <c r="Z50" s="175"/>
      <c r="AA50" s="175"/>
      <c r="AB50" s="175"/>
      <c r="AC50" s="175"/>
      <c r="AD50" s="175"/>
      <c r="AE50" s="175"/>
      <c r="AF50" s="300"/>
      <c r="AG50" s="175"/>
      <c r="AH50" s="300"/>
      <c r="AI50" s="175"/>
      <c r="AJ50" s="175"/>
      <c r="AK50" s="175"/>
      <c r="AL50" s="175"/>
      <c r="AM50" s="175"/>
      <c r="AN50" s="175"/>
      <c r="AO50" s="175"/>
      <c r="AP50" s="378"/>
      <c r="AQ50" s="289"/>
      <c r="AR50" s="289"/>
      <c r="AS50" s="723"/>
      <c r="AT50" s="181"/>
      <c r="AU50" s="175"/>
      <c r="AV50" s="378"/>
      <c r="AW50" s="289"/>
      <c r="AX50" s="289"/>
      <c r="AY50" s="289"/>
      <c r="AZ50" s="181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727"/>
      <c r="BR50" s="728"/>
      <c r="BS50" s="729"/>
      <c r="BT50" s="175"/>
      <c r="BU50" s="175"/>
    </row>
    <row r="51" spans="2:73" ht="18.600000000000001" x14ac:dyDescent="0.25">
      <c r="B51" s="325"/>
      <c r="C51" s="308" t="s">
        <v>310</v>
      </c>
      <c r="D51" s="738" t="s">
        <v>312</v>
      </c>
      <c r="E51" s="739"/>
      <c r="F51" s="326" t="s">
        <v>313</v>
      </c>
      <c r="G51" s="740" t="s">
        <v>348</v>
      </c>
      <c r="H51" s="741"/>
      <c r="I51" s="308" t="s">
        <v>119</v>
      </c>
      <c r="J51" s="327"/>
      <c r="K51" s="707"/>
      <c r="L51" s="709"/>
      <c r="W51" s="289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5"/>
      <c r="AM51" s="175"/>
      <c r="AN51" s="175"/>
      <c r="AO51" s="175"/>
      <c r="AP51" s="378"/>
      <c r="AQ51" s="289"/>
      <c r="AR51" s="289"/>
      <c r="AS51" s="289"/>
      <c r="AT51" s="181"/>
      <c r="AU51" s="175"/>
      <c r="AV51" s="378"/>
      <c r="AW51" s="289"/>
      <c r="AX51" s="289"/>
      <c r="AY51" s="289"/>
      <c r="AZ51" s="181"/>
      <c r="BA51" s="175"/>
      <c r="BB51" s="175"/>
      <c r="BC51" s="175"/>
      <c r="BD51" s="175"/>
      <c r="BE51" s="175"/>
      <c r="BF51" s="175"/>
      <c r="BG51" s="175"/>
      <c r="BH51" s="175"/>
      <c r="BI51" s="175"/>
      <c r="BJ51" s="175"/>
      <c r="BK51" s="175"/>
      <c r="BL51" s="175"/>
      <c r="BM51" s="175"/>
      <c r="BN51" s="175"/>
      <c r="BO51" s="175"/>
      <c r="BP51" s="175"/>
      <c r="BQ51" s="727"/>
      <c r="BR51" s="728"/>
      <c r="BS51" s="729"/>
      <c r="BT51" s="175"/>
      <c r="BU51" s="175"/>
    </row>
    <row r="52" spans="2:73" ht="19.2" thickBot="1" x14ac:dyDescent="0.3">
      <c r="B52" s="328" t="s">
        <v>335</v>
      </c>
      <c r="C52" s="314">
        <f>AF48</f>
        <v>1.1856201929090173</v>
      </c>
      <c r="D52" s="704" t="s">
        <v>341</v>
      </c>
      <c r="E52" s="705"/>
      <c r="F52" s="329" t="e">
        <f>(((C46*(-1/C56))*(1-((C52-1.2)/C54)))-((C46*(1-((C52-1.2)/C56))+(C48*C50))*(-1/C54)))/(1-((C52-1.2)/C54))^2</f>
        <v>#DIV/0!</v>
      </c>
      <c r="G52" s="704" t="s">
        <v>349</v>
      </c>
      <c r="H52" s="705"/>
      <c r="I52" s="330">
        <f>AW46</f>
        <v>8.7961883786176595E-4</v>
      </c>
      <c r="J52" s="331" t="e">
        <f>+F52*I52</f>
        <v>#DIV/0!</v>
      </c>
      <c r="K52" s="706" t="e">
        <f>(100*(J52^2)/($C$63^2))</f>
        <v>#DIV/0!</v>
      </c>
      <c r="L52" s="742">
        <v>250</v>
      </c>
      <c r="W52" s="289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378"/>
      <c r="AQ52" s="289"/>
      <c r="AR52" s="289"/>
      <c r="AS52" s="722">
        <f>BU23*AF48</f>
        <v>-1.1856201929090173E-2</v>
      </c>
      <c r="AT52" s="181"/>
      <c r="AU52" s="175"/>
      <c r="AV52" s="378"/>
      <c r="AW52" s="368" t="s">
        <v>40</v>
      </c>
      <c r="AX52" s="366"/>
      <c r="AY52" s="368" t="s">
        <v>177</v>
      </c>
      <c r="AZ52" s="368" t="s">
        <v>41</v>
      </c>
      <c r="BA52" s="175"/>
      <c r="BB52" s="175"/>
      <c r="BC52" s="175"/>
      <c r="BD52" s="175"/>
      <c r="BE52" s="175"/>
      <c r="BF52" s="175"/>
      <c r="BG52" s="175"/>
      <c r="BH52" s="175"/>
      <c r="BI52" s="175"/>
      <c r="BJ52" s="175"/>
      <c r="BK52" s="175"/>
      <c r="BL52" s="175"/>
      <c r="BM52" s="175"/>
      <c r="BN52" s="175"/>
      <c r="BO52" s="175"/>
      <c r="BP52" s="175"/>
      <c r="BQ52" s="730"/>
      <c r="BR52" s="731"/>
      <c r="BS52" s="732"/>
      <c r="BT52" s="175"/>
      <c r="BU52" s="175"/>
    </row>
    <row r="53" spans="2:73" x14ac:dyDescent="0.25">
      <c r="B53" s="332" t="s">
        <v>314</v>
      </c>
      <c r="C53" s="308" t="s">
        <v>315</v>
      </c>
      <c r="D53" s="736"/>
      <c r="E53" s="737"/>
      <c r="F53" s="308" t="s">
        <v>316</v>
      </c>
      <c r="G53" s="309"/>
      <c r="H53" s="310"/>
      <c r="I53" s="312" t="s">
        <v>119</v>
      </c>
      <c r="J53" s="313"/>
      <c r="K53" s="707"/>
      <c r="L53" s="743"/>
      <c r="W53" s="289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378"/>
      <c r="AQ53" s="289"/>
      <c r="AR53" s="289"/>
      <c r="AS53" s="723"/>
      <c r="AT53" s="181"/>
      <c r="AU53" s="175"/>
      <c r="AV53" s="378"/>
      <c r="AW53" s="405">
        <f>'[8]densidad del aire'!BU51</f>
        <v>0</v>
      </c>
      <c r="AX53" s="368" t="s">
        <v>120</v>
      </c>
      <c r="AY53" s="405">
        <f>AV49</f>
        <v>1.7592376757235319E-3</v>
      </c>
      <c r="AZ53" s="366"/>
      <c r="BA53" s="175"/>
      <c r="BB53" s="175"/>
      <c r="BC53" s="175"/>
      <c r="BD53" s="175"/>
      <c r="BE53" s="175"/>
      <c r="BF53" s="175"/>
      <c r="BG53" s="175"/>
      <c r="BH53" s="175"/>
      <c r="BI53" s="175"/>
      <c r="BJ53" s="175"/>
      <c r="BK53" s="175"/>
      <c r="BL53" s="175"/>
      <c r="BM53" s="175"/>
      <c r="BN53" s="175"/>
      <c r="BO53" s="175"/>
      <c r="BP53" s="175"/>
      <c r="BQ53" s="175"/>
      <c r="BR53" s="175"/>
      <c r="BS53" s="175"/>
      <c r="BT53" s="175"/>
      <c r="BU53" s="175"/>
    </row>
    <row r="54" spans="2:73" ht="22.8" x14ac:dyDescent="0.25">
      <c r="B54" s="333" t="s">
        <v>336</v>
      </c>
      <c r="C54" s="334">
        <f>C8</f>
        <v>7700</v>
      </c>
      <c r="D54" s="704" t="s">
        <v>342</v>
      </c>
      <c r="E54" s="705"/>
      <c r="F54" s="334" t="e">
        <f>-((C46*((1-((C52-1.2)/C56)))+(C48*C50))*((C52-1.2)/C54^2))/(1-((C52-1.2)/C54))^2</f>
        <v>#DIV/0!</v>
      </c>
      <c r="G54" s="797" t="s">
        <v>350</v>
      </c>
      <c r="H54" s="705"/>
      <c r="I54" s="335">
        <f>E8</f>
        <v>100</v>
      </c>
      <c r="J54" s="336" t="e">
        <f>+F54*I54</f>
        <v>#DIV/0!</v>
      </c>
      <c r="K54" s="706" t="e">
        <f>(100*(J54^2)/($C$63^2))</f>
        <v>#DIV/0!</v>
      </c>
      <c r="L54" s="708">
        <v>100</v>
      </c>
      <c r="W54" s="289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382"/>
      <c r="AQ54" s="376"/>
      <c r="AR54" s="376"/>
      <c r="AS54" s="376"/>
      <c r="AT54" s="189"/>
      <c r="AU54" s="175"/>
      <c r="AV54" s="382"/>
      <c r="AW54" s="376"/>
      <c r="AX54" s="376"/>
      <c r="AY54" s="376"/>
      <c r="AZ54" s="189"/>
      <c r="BA54" s="175"/>
      <c r="BB54" s="175"/>
      <c r="BC54" s="175"/>
      <c r="BD54" s="175"/>
      <c r="BE54" s="175"/>
      <c r="BF54" s="175"/>
      <c r="BG54" s="175"/>
      <c r="BH54" s="175"/>
      <c r="BI54" s="175"/>
      <c r="BJ54" s="175"/>
      <c r="BK54" s="175"/>
      <c r="BL54" s="175"/>
      <c r="BM54" s="175"/>
      <c r="BN54" s="175"/>
      <c r="BO54" s="175"/>
      <c r="BP54" s="175"/>
      <c r="BQ54" s="175"/>
      <c r="BR54" s="175"/>
      <c r="BS54" s="175"/>
      <c r="BT54" s="175"/>
      <c r="BU54" s="175"/>
    </row>
    <row r="55" spans="2:73" ht="15" x14ac:dyDescent="0.25">
      <c r="B55" s="337" t="s">
        <v>317</v>
      </c>
      <c r="C55" s="338" t="s">
        <v>316</v>
      </c>
      <c r="D55" s="740"/>
      <c r="E55" s="741"/>
      <c r="F55" s="308" t="s">
        <v>315</v>
      </c>
      <c r="G55" s="798"/>
      <c r="H55" s="799"/>
      <c r="I55" s="312" t="s">
        <v>119</v>
      </c>
      <c r="J55" s="313"/>
      <c r="K55" s="707"/>
      <c r="L55" s="709"/>
      <c r="W55" s="289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289"/>
      <c r="AQ55" s="289"/>
      <c r="AR55" s="289"/>
      <c r="AS55" s="289"/>
      <c r="AT55" s="289"/>
      <c r="AU55" s="175"/>
      <c r="AV55" s="175"/>
      <c r="AW55" s="175"/>
      <c r="AX55" s="175"/>
      <c r="AY55" s="175"/>
      <c r="AZ55" s="175"/>
      <c r="BA55" s="175"/>
      <c r="BB55" s="175"/>
      <c r="BC55" s="175"/>
      <c r="BD55" s="175"/>
      <c r="BE55" s="175"/>
      <c r="BF55" s="175"/>
      <c r="BG55" s="175"/>
      <c r="BH55" s="175"/>
      <c r="BI55" s="175"/>
      <c r="BJ55" s="175"/>
      <c r="BK55" s="175"/>
      <c r="BL55" s="175"/>
      <c r="BM55" s="175"/>
      <c r="BN55" s="175"/>
      <c r="BO55" s="175"/>
      <c r="BP55" s="175"/>
      <c r="BQ55" s="175"/>
      <c r="BR55" s="175"/>
      <c r="BS55" s="175"/>
      <c r="BT55" s="175"/>
      <c r="BU55" s="175"/>
    </row>
    <row r="56" spans="2:73" ht="26.4" x14ac:dyDescent="0.25">
      <c r="B56" s="339" t="s">
        <v>337</v>
      </c>
      <c r="C56" s="330" t="e">
        <f>C13</f>
        <v>#DIV/0!</v>
      </c>
      <c r="D56" s="704" t="s">
        <v>343</v>
      </c>
      <c r="E56" s="705"/>
      <c r="F56" s="334" t="e">
        <f>((C46*((C52-1.2)/C56^2))*(1-((C52-1.2)/C54)))/(1-((C52-1.2)/C54))^2</f>
        <v>#DIV/0!</v>
      </c>
      <c r="G56" s="704" t="s">
        <v>351</v>
      </c>
      <c r="H56" s="705"/>
      <c r="I56" s="340" t="e">
        <f>E13</f>
        <v>#DIV/0!</v>
      </c>
      <c r="J56" s="336" t="e">
        <f>+F56*I56</f>
        <v>#DIV/0!</v>
      </c>
      <c r="K56" s="706" t="e">
        <f>(100*(J56^2)/($C$63^2))</f>
        <v>#DIV/0!</v>
      </c>
      <c r="L56" s="708">
        <v>100</v>
      </c>
      <c r="W56" s="289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289"/>
      <c r="AQ56" s="289"/>
      <c r="AR56" s="289"/>
      <c r="AS56" s="289"/>
      <c r="AT56" s="289"/>
      <c r="AU56" s="175"/>
      <c r="AV56" s="175"/>
      <c r="AW56" s="175"/>
      <c r="AX56" s="175"/>
      <c r="AY56" s="175"/>
      <c r="AZ56" s="175"/>
      <c r="BA56" s="175"/>
      <c r="BB56" s="175"/>
      <c r="BC56" s="175"/>
      <c r="BD56" s="175"/>
      <c r="BE56" s="175"/>
      <c r="BF56" s="175"/>
      <c r="BG56" s="175"/>
      <c r="BH56" s="175"/>
      <c r="BI56" s="175"/>
      <c r="BJ56" s="175"/>
      <c r="BK56" s="175"/>
      <c r="BL56" s="175"/>
      <c r="BM56" s="175"/>
      <c r="BN56" s="175"/>
      <c r="BO56" s="175"/>
      <c r="BP56" s="175"/>
      <c r="BQ56" s="175"/>
      <c r="BR56" s="175"/>
      <c r="BS56" s="175"/>
      <c r="BT56" s="175"/>
      <c r="BU56" s="175"/>
    </row>
    <row r="57" spans="2:73" ht="18" thickBot="1" x14ac:dyDescent="0.3">
      <c r="B57" s="337" t="s">
        <v>318</v>
      </c>
      <c r="C57" s="338" t="s">
        <v>316</v>
      </c>
      <c r="D57" s="710"/>
      <c r="E57" s="711"/>
      <c r="F57" s="341" t="s">
        <v>315</v>
      </c>
      <c r="G57" s="712"/>
      <c r="H57" s="713"/>
      <c r="I57" s="341" t="s">
        <v>119</v>
      </c>
      <c r="J57" s="342"/>
      <c r="K57" s="707"/>
      <c r="L57" s="709"/>
      <c r="W57" s="289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289"/>
      <c r="AQ57" s="289"/>
      <c r="AR57" s="289"/>
      <c r="AS57" s="722">
        <f>BU31</f>
        <v>-0.1425973416739752</v>
      </c>
      <c r="AT57" s="289"/>
      <c r="AU57" s="175"/>
      <c r="AV57" s="175"/>
      <c r="AW57" s="175"/>
      <c r="AX57" s="175"/>
      <c r="AY57" s="175"/>
      <c r="AZ57" s="175"/>
      <c r="BA57" s="175"/>
      <c r="BB57" s="175"/>
      <c r="BC57" s="175"/>
      <c r="BD57" s="175"/>
      <c r="BE57" s="175"/>
      <c r="BF57" s="175"/>
      <c r="BG57" s="175"/>
      <c r="BH57" s="175"/>
      <c r="BI57" s="175"/>
      <c r="BJ57" s="175"/>
      <c r="BK57" s="175"/>
      <c r="BL57" s="175"/>
      <c r="BM57" s="175"/>
      <c r="BN57" s="175"/>
      <c r="BO57" s="175"/>
      <c r="BP57" s="175"/>
      <c r="BQ57" s="175"/>
      <c r="BR57" s="175"/>
      <c r="BS57" s="175"/>
      <c r="BT57" s="175"/>
      <c r="BU57" s="175"/>
    </row>
    <row r="58" spans="2:73" ht="23.4" thickBot="1" x14ac:dyDescent="0.45">
      <c r="B58" s="343"/>
      <c r="C58" s="344"/>
      <c r="D58" s="345"/>
      <c r="E58" s="346"/>
      <c r="F58" s="347"/>
      <c r="G58" s="800" t="s">
        <v>319</v>
      </c>
      <c r="H58" s="801"/>
      <c r="I58" s="802"/>
      <c r="J58" s="348">
        <f>C18</f>
        <v>28.867513459481291</v>
      </c>
      <c r="K58" s="349" t="e">
        <f>(100*(J58^2)/($C$63^2))</f>
        <v>#DIV/0!</v>
      </c>
      <c r="L58" s="350">
        <v>100</v>
      </c>
      <c r="W58" s="289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289"/>
      <c r="AQ58" s="289"/>
      <c r="AR58" s="289"/>
      <c r="AS58" s="723"/>
      <c r="AT58" s="289"/>
      <c r="AU58" s="175"/>
      <c r="AV58" s="175"/>
      <c r="AW58" s="175"/>
      <c r="AX58" s="175"/>
      <c r="AY58" s="175"/>
      <c r="AZ58" s="175"/>
      <c r="BA58" s="175"/>
      <c r="BB58" s="175"/>
      <c r="BC58" s="175"/>
      <c r="BD58" s="175"/>
      <c r="BE58" s="175"/>
      <c r="BF58" s="175"/>
      <c r="BG58" s="175"/>
      <c r="BH58" s="175"/>
      <c r="BI58" s="175"/>
      <c r="BJ58" s="175"/>
      <c r="BK58" s="175"/>
      <c r="BL58" s="175"/>
      <c r="BM58" s="175"/>
      <c r="BN58" s="175"/>
      <c r="BO58" s="175"/>
      <c r="BP58" s="175"/>
      <c r="BQ58" s="175"/>
      <c r="BR58" s="175"/>
      <c r="BS58" s="175"/>
      <c r="BT58" s="175"/>
      <c r="BU58" s="175"/>
    </row>
    <row r="59" spans="2:73" ht="15" x14ac:dyDescent="0.25">
      <c r="B59" s="351"/>
      <c r="C59" s="351"/>
      <c r="D59" s="351"/>
      <c r="E59" s="351"/>
      <c r="F59" s="696"/>
      <c r="G59" s="696"/>
      <c r="H59" s="696"/>
      <c r="I59" s="352"/>
      <c r="J59" s="353"/>
      <c r="K59" s="354" t="e">
        <f>SUM(K46:K58)</f>
        <v>#DIV/0!</v>
      </c>
      <c r="L59" s="355" t="e">
        <f>(C63^4)/(((J46^4)/L46)+((J48^4)/L48)+((J50^4)/L50)+((J52^4)/L52)+((J54^4)/L54)+0+((J56^4)/L56)+((J58^4)/L58))</f>
        <v>#DIV/0!</v>
      </c>
      <c r="W59" s="289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  <c r="AW59" s="175"/>
      <c r="AX59" s="175"/>
      <c r="AY59" s="175"/>
      <c r="AZ59" s="175"/>
      <c r="BA59" s="175"/>
      <c r="BB59" s="175"/>
      <c r="BC59" s="175"/>
      <c r="BD59" s="175"/>
      <c r="BE59" s="175"/>
      <c r="BF59" s="175"/>
      <c r="BG59" s="175"/>
      <c r="BH59" s="175"/>
      <c r="BI59" s="175"/>
      <c r="BJ59" s="175"/>
      <c r="BK59" s="175"/>
      <c r="BL59" s="175"/>
      <c r="BM59" s="175"/>
      <c r="BN59" s="175"/>
      <c r="BO59" s="175"/>
      <c r="BP59" s="175"/>
      <c r="BQ59" s="175"/>
      <c r="BR59" s="175"/>
      <c r="BS59" s="175"/>
      <c r="BT59" s="175"/>
      <c r="BU59" s="175"/>
    </row>
    <row r="60" spans="2:73" ht="17.399999999999999" x14ac:dyDescent="0.3">
      <c r="F60" s="43"/>
      <c r="G60" s="44"/>
      <c r="H60" s="45"/>
      <c r="I60" s="82"/>
      <c r="J60" s="42"/>
      <c r="W60" s="289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  <c r="AW60" s="175"/>
      <c r="AX60" s="175"/>
      <c r="AY60" s="175"/>
      <c r="AZ60" s="175"/>
      <c r="BA60" s="175"/>
      <c r="BB60" s="175"/>
      <c r="BC60" s="175"/>
      <c r="BD60" s="175"/>
      <c r="BE60" s="175"/>
      <c r="BF60" s="175"/>
      <c r="BG60" s="175"/>
      <c r="BH60" s="175"/>
      <c r="BI60" s="175"/>
      <c r="BJ60" s="175"/>
      <c r="BK60" s="175"/>
      <c r="BL60" s="175"/>
      <c r="BM60" s="175"/>
      <c r="BN60" s="175"/>
      <c r="BO60" s="175"/>
      <c r="BP60" s="175"/>
      <c r="BQ60" s="175"/>
      <c r="BR60" s="175"/>
      <c r="BS60" s="175"/>
      <c r="BT60" s="175"/>
      <c r="BU60" s="175"/>
    </row>
    <row r="61" spans="2:73" ht="16.2" thickBot="1" x14ac:dyDescent="0.35">
      <c r="B61" s="38"/>
      <c r="C61" s="38"/>
      <c r="D61" s="38"/>
      <c r="E61" s="38"/>
      <c r="F61" s="38"/>
      <c r="G61" s="46"/>
      <c r="H61" s="47"/>
      <c r="I61" s="48"/>
      <c r="J61" s="49"/>
      <c r="K61" s="38"/>
      <c r="W61" s="289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  <c r="AW61" s="175"/>
      <c r="AX61" s="175"/>
      <c r="AY61" s="175"/>
      <c r="AZ61" s="175"/>
      <c r="BA61" s="175"/>
      <c r="BB61" s="175"/>
      <c r="BC61" s="175"/>
      <c r="BD61" s="175"/>
      <c r="BE61" s="175"/>
      <c r="BF61" s="175"/>
      <c r="BG61" s="175"/>
      <c r="BH61" s="175"/>
      <c r="BI61" s="175"/>
      <c r="BJ61" s="175"/>
      <c r="BK61" s="175"/>
      <c r="BL61" s="175"/>
      <c r="BM61" s="175"/>
      <c r="BN61" s="175"/>
      <c r="BO61" s="175"/>
      <c r="BP61" s="175"/>
      <c r="BQ61" s="175"/>
      <c r="BR61" s="175"/>
      <c r="BS61" s="175"/>
      <c r="BT61" s="175"/>
      <c r="BU61" s="175"/>
    </row>
    <row r="62" spans="2:73" ht="15.6" thickBot="1" x14ac:dyDescent="0.3">
      <c r="B62" s="697" t="s">
        <v>323</v>
      </c>
      <c r="C62" s="698"/>
      <c r="D62" s="698"/>
      <c r="E62" s="699"/>
      <c r="F62" s="38"/>
      <c r="G62" s="38"/>
      <c r="H62" s="38"/>
      <c r="I62" s="38"/>
      <c r="J62" s="38"/>
      <c r="K62" s="38"/>
      <c r="W62" s="289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  <c r="AW62" s="175"/>
      <c r="AX62" s="175"/>
      <c r="AY62" s="175"/>
      <c r="AZ62" s="175"/>
      <c r="BA62" s="175"/>
      <c r="BB62" s="175"/>
      <c r="BC62" s="175"/>
      <c r="BD62" s="175"/>
      <c r="BE62" s="175"/>
      <c r="BF62" s="175"/>
      <c r="BG62" s="175"/>
      <c r="BH62" s="175"/>
      <c r="BI62" s="175"/>
      <c r="BJ62" s="175"/>
      <c r="BK62" s="175"/>
      <c r="BL62" s="175"/>
      <c r="BM62" s="175"/>
      <c r="BN62" s="175"/>
      <c r="BO62" s="175"/>
      <c r="BP62" s="175"/>
      <c r="BQ62" s="175"/>
      <c r="BR62" s="175"/>
      <c r="BS62" s="175"/>
      <c r="BT62" s="175"/>
      <c r="BU62" s="175"/>
    </row>
    <row r="63" spans="2:73" ht="15.6" x14ac:dyDescent="0.3">
      <c r="B63" s="267" t="s">
        <v>327</v>
      </c>
      <c r="C63" s="268" t="e">
        <f>SQRT(SUMSQ(J46:J58))</f>
        <v>#DIV/0!</v>
      </c>
      <c r="D63" s="272" t="s">
        <v>324</v>
      </c>
      <c r="E63" s="273" t="s">
        <v>325</v>
      </c>
      <c r="J63" s="194" t="s">
        <v>322</v>
      </c>
      <c r="K63" s="41" t="e">
        <f>L59</f>
        <v>#DIV/0!</v>
      </c>
      <c r="W63" s="289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  <c r="AW63" s="175"/>
      <c r="AX63" s="175"/>
      <c r="AY63" s="175"/>
      <c r="AZ63" s="175"/>
      <c r="BA63" s="175"/>
      <c r="BB63" s="175"/>
      <c r="BC63" s="175"/>
      <c r="BD63" s="175"/>
      <c r="BE63" s="175"/>
      <c r="BF63" s="175"/>
      <c r="BG63" s="175"/>
      <c r="BH63" s="175"/>
      <c r="BI63" s="175"/>
      <c r="BJ63" s="175"/>
      <c r="BK63" s="175"/>
      <c r="BL63" s="175"/>
      <c r="BM63" s="175"/>
      <c r="BN63" s="175"/>
      <c r="BO63" s="175"/>
      <c r="BP63" s="175"/>
      <c r="BQ63" s="175"/>
      <c r="BR63" s="175"/>
      <c r="BS63" s="175"/>
      <c r="BT63" s="175"/>
      <c r="BU63" s="175"/>
    </row>
    <row r="64" spans="2:73" ht="16.2" thickBot="1" x14ac:dyDescent="0.3">
      <c r="B64" s="270" t="s">
        <v>328</v>
      </c>
      <c r="C64" s="271" t="e">
        <f>C63*K64</f>
        <v>#DIV/0!</v>
      </c>
      <c r="D64" s="274" t="s">
        <v>324</v>
      </c>
      <c r="E64" s="275" t="s">
        <v>326</v>
      </c>
      <c r="J64" s="40" t="s">
        <v>43</v>
      </c>
      <c r="K64" s="75" t="e">
        <f>IF(K63&gt;20,2,HLOOKUP(K63,B72:W73,2))</f>
        <v>#DIV/0!</v>
      </c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  <c r="AW64" s="175"/>
      <c r="AX64" s="175"/>
      <c r="AY64" s="175"/>
      <c r="AZ64" s="175"/>
      <c r="BA64" s="175"/>
      <c r="BB64" s="175"/>
      <c r="BC64" s="175"/>
      <c r="BD64" s="175"/>
      <c r="BE64" s="175"/>
      <c r="BF64" s="175"/>
      <c r="BG64" s="175"/>
      <c r="BH64" s="175"/>
      <c r="BI64" s="175"/>
      <c r="BJ64" s="175"/>
      <c r="BK64" s="175"/>
      <c r="BL64" s="175"/>
      <c r="BM64" s="175"/>
      <c r="BN64" s="175"/>
      <c r="BO64" s="175"/>
      <c r="BP64" s="175"/>
      <c r="BQ64" s="175"/>
      <c r="BR64" s="175"/>
      <c r="BS64" s="175"/>
      <c r="BT64" s="175"/>
      <c r="BU64" s="175"/>
    </row>
    <row r="65" spans="2:73" ht="16.2" thickBot="1" x14ac:dyDescent="0.35">
      <c r="J65" s="296" t="s">
        <v>43</v>
      </c>
      <c r="K65" s="297" t="e">
        <f>ROUNDUP(TINV(0.05,K63),0)</f>
        <v>#DIV/0!</v>
      </c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  <c r="AW65" s="175"/>
      <c r="AX65" s="175"/>
      <c r="AY65" s="175"/>
      <c r="AZ65" s="175"/>
      <c r="BA65" s="175"/>
      <c r="BB65" s="175"/>
      <c r="BC65" s="175"/>
      <c r="BD65" s="175"/>
      <c r="BE65" s="175"/>
      <c r="BF65" s="175"/>
      <c r="BG65" s="175"/>
      <c r="BH65" s="175"/>
      <c r="BI65" s="175"/>
      <c r="BJ65" s="175"/>
      <c r="BK65" s="175"/>
      <c r="BL65" s="175"/>
      <c r="BM65" s="175"/>
      <c r="BN65" s="175"/>
      <c r="BO65" s="175"/>
      <c r="BP65" s="175"/>
      <c r="BQ65" s="175"/>
      <c r="BR65" s="175"/>
      <c r="BS65" s="175"/>
      <c r="BT65" s="175"/>
      <c r="BU65" s="175"/>
    </row>
    <row r="66" spans="2:73" ht="14.4" thickBot="1" x14ac:dyDescent="0.3">
      <c r="B66" s="700" t="s">
        <v>320</v>
      </c>
      <c r="C66" s="698"/>
      <c r="D66" s="698"/>
      <c r="E66" s="699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  <c r="AW66" s="175"/>
      <c r="AX66" s="175"/>
      <c r="AY66" s="175"/>
      <c r="AZ66" s="175"/>
      <c r="BA66" s="175"/>
      <c r="BB66" s="175"/>
      <c r="BC66" s="175"/>
      <c r="BD66" s="175"/>
      <c r="BE66" s="175"/>
      <c r="BF66" s="175"/>
      <c r="BG66" s="175"/>
      <c r="BH66" s="175"/>
      <c r="BI66" s="175"/>
      <c r="BJ66" s="175"/>
      <c r="BK66" s="175"/>
      <c r="BL66" s="175"/>
      <c r="BM66" s="175"/>
      <c r="BN66" s="175"/>
      <c r="BO66" s="175"/>
      <c r="BP66" s="175"/>
      <c r="BQ66" s="175"/>
      <c r="BR66" s="175"/>
      <c r="BS66" s="175"/>
      <c r="BT66" s="175"/>
      <c r="BU66" s="175"/>
    </row>
    <row r="67" spans="2:73" ht="15.6" x14ac:dyDescent="0.35">
      <c r="B67" s="276" t="s">
        <v>330</v>
      </c>
      <c r="C67" s="277" t="e">
        <f>((C46*(1-(C52-1.2)/C56)+C48)/(1-(C52-1.2)/C54))-C10</f>
        <v>#DIV/0!</v>
      </c>
      <c r="D67" s="278" t="s">
        <v>119</v>
      </c>
      <c r="E67" s="269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  <c r="AI67" s="175"/>
      <c r="AJ67" s="175"/>
      <c r="AK67" s="175"/>
      <c r="AL67" s="175"/>
      <c r="AM67" s="175"/>
      <c r="AN67" s="175"/>
      <c r="AO67" s="175"/>
      <c r="AP67" s="175"/>
      <c r="AQ67" s="175"/>
      <c r="AR67" s="175"/>
      <c r="AS67" s="175"/>
      <c r="AT67" s="175"/>
      <c r="AU67" s="175"/>
      <c r="AV67" s="175"/>
      <c r="AW67" s="175"/>
      <c r="AX67" s="175"/>
      <c r="AY67" s="175"/>
      <c r="AZ67" s="175"/>
      <c r="BA67" s="175"/>
      <c r="BB67" s="175"/>
      <c r="BC67" s="175"/>
      <c r="BD67" s="175"/>
      <c r="BE67" s="175"/>
      <c r="BF67" s="175"/>
      <c r="BG67" s="175"/>
      <c r="BH67" s="175"/>
      <c r="BI67" s="175"/>
      <c r="BJ67" s="175"/>
      <c r="BK67" s="175"/>
      <c r="BL67" s="175"/>
      <c r="BM67" s="175"/>
      <c r="BN67" s="175"/>
      <c r="BO67" s="175"/>
      <c r="BP67" s="175"/>
      <c r="BQ67" s="175"/>
      <c r="BR67" s="175"/>
      <c r="BS67" s="175"/>
      <c r="BT67" s="175"/>
      <c r="BU67" s="175"/>
    </row>
    <row r="68" spans="2:73" x14ac:dyDescent="0.25"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  <c r="AI68" s="175"/>
      <c r="AJ68" s="175"/>
      <c r="AK68" s="175"/>
      <c r="AL68" s="175"/>
      <c r="AM68" s="175"/>
      <c r="AN68" s="175"/>
      <c r="AO68" s="175"/>
      <c r="AP68" s="175"/>
      <c r="AQ68" s="175"/>
      <c r="AR68" s="175"/>
      <c r="AS68" s="175"/>
      <c r="AT68" s="175"/>
      <c r="AU68" s="175"/>
      <c r="AV68" s="175"/>
      <c r="AW68" s="175"/>
      <c r="AX68" s="175"/>
      <c r="AY68" s="175"/>
      <c r="AZ68" s="175"/>
      <c r="BA68" s="175"/>
      <c r="BB68" s="175"/>
      <c r="BC68" s="175"/>
      <c r="BD68" s="175"/>
      <c r="BE68" s="175"/>
      <c r="BF68" s="175"/>
      <c r="BG68" s="175"/>
      <c r="BH68" s="175"/>
      <c r="BI68" s="175"/>
      <c r="BJ68" s="175"/>
      <c r="BK68" s="175"/>
      <c r="BL68" s="175"/>
      <c r="BM68" s="175"/>
      <c r="BN68" s="175"/>
      <c r="BO68" s="175"/>
      <c r="BP68" s="175"/>
      <c r="BQ68" s="175"/>
      <c r="BR68" s="175"/>
      <c r="BS68" s="175"/>
      <c r="BT68" s="175"/>
      <c r="BU68" s="175"/>
    </row>
    <row r="69" spans="2:73" x14ac:dyDescent="0.25">
      <c r="X69" s="175"/>
      <c r="Y69" s="175"/>
      <c r="Z69" s="175"/>
      <c r="AA69" s="175"/>
      <c r="AB69" s="175"/>
      <c r="AC69" s="175"/>
      <c r="AD69" s="175"/>
      <c r="AE69" s="175"/>
      <c r="AF69" s="175"/>
      <c r="AG69" s="175"/>
      <c r="AH69" s="175"/>
      <c r="AI69" s="175"/>
      <c r="AJ69" s="175"/>
      <c r="AK69" s="175"/>
      <c r="AL69" s="175"/>
      <c r="AM69" s="175"/>
      <c r="AN69" s="175"/>
      <c r="AO69" s="175"/>
      <c r="AP69" s="175"/>
      <c r="AQ69" s="175"/>
      <c r="AR69" s="175"/>
      <c r="AS69" s="175"/>
      <c r="AT69" s="175"/>
      <c r="AU69" s="175"/>
      <c r="AV69" s="175"/>
      <c r="AW69" s="175"/>
      <c r="AX69" s="175"/>
      <c r="AY69" s="175"/>
      <c r="AZ69" s="175"/>
      <c r="BA69" s="175"/>
      <c r="BB69" s="175"/>
      <c r="BC69" s="175"/>
      <c r="BD69" s="175"/>
      <c r="BE69" s="175"/>
      <c r="BF69" s="175"/>
      <c r="BG69" s="175"/>
      <c r="BH69" s="175"/>
      <c r="BI69" s="175"/>
      <c r="BJ69" s="175"/>
      <c r="BK69" s="175"/>
      <c r="BL69" s="175"/>
      <c r="BM69" s="175"/>
      <c r="BN69" s="175"/>
      <c r="BO69" s="175"/>
      <c r="BP69" s="175"/>
      <c r="BQ69" s="175"/>
      <c r="BR69" s="175"/>
      <c r="BS69" s="175"/>
      <c r="BT69" s="175"/>
      <c r="BU69" s="175"/>
    </row>
    <row r="70" spans="2:73" ht="14.4" thickBot="1" x14ac:dyDescent="0.3">
      <c r="X70" s="175"/>
      <c r="Y70" s="175"/>
      <c r="Z70" s="175"/>
      <c r="AA70" s="175"/>
      <c r="AB70" s="175"/>
      <c r="AC70" s="175"/>
      <c r="AD70" s="175"/>
      <c r="AE70" s="175"/>
      <c r="AF70" s="175"/>
      <c r="AG70" s="175"/>
      <c r="AH70" s="175"/>
      <c r="AI70" s="175"/>
      <c r="AJ70" s="175"/>
      <c r="AK70" s="175"/>
      <c r="AL70" s="175"/>
      <c r="AM70" s="175"/>
      <c r="AN70" s="175"/>
      <c r="AO70" s="175"/>
      <c r="AP70" s="175"/>
      <c r="AQ70" s="175"/>
      <c r="AR70" s="175"/>
      <c r="AS70" s="175"/>
      <c r="AT70" s="175"/>
      <c r="AU70" s="175"/>
      <c r="AV70" s="175"/>
      <c r="AW70" s="175"/>
      <c r="AX70" s="175"/>
      <c r="AY70" s="175"/>
      <c r="AZ70" s="175"/>
      <c r="BA70" s="175"/>
      <c r="BB70" s="175"/>
      <c r="BC70" s="175"/>
      <c r="BD70" s="175"/>
      <c r="BE70" s="175"/>
      <c r="BF70" s="175"/>
      <c r="BG70" s="175"/>
      <c r="BH70" s="175"/>
      <c r="BI70" s="175"/>
      <c r="BJ70" s="175"/>
      <c r="BK70" s="175"/>
      <c r="BL70" s="175"/>
      <c r="BM70" s="175"/>
      <c r="BN70" s="175"/>
      <c r="BO70" s="175"/>
      <c r="BP70" s="175"/>
      <c r="BQ70" s="175"/>
      <c r="BR70" s="175"/>
      <c r="BS70" s="175"/>
      <c r="BT70" s="175"/>
      <c r="BU70" s="175"/>
    </row>
    <row r="71" spans="2:73" ht="14.4" thickBot="1" x14ac:dyDescent="0.3">
      <c r="B71" s="701" t="s">
        <v>321</v>
      </c>
      <c r="C71" s="702"/>
      <c r="D71" s="702"/>
      <c r="E71" s="702"/>
      <c r="F71" s="702"/>
      <c r="G71" s="702"/>
      <c r="H71" s="702"/>
      <c r="I71" s="702"/>
      <c r="J71" s="702"/>
      <c r="K71" s="702"/>
      <c r="L71" s="702"/>
      <c r="M71" s="702"/>
      <c r="N71" s="702"/>
      <c r="O71" s="702"/>
      <c r="P71" s="702"/>
      <c r="Q71" s="702"/>
      <c r="R71" s="702"/>
      <c r="S71" s="702"/>
      <c r="T71" s="702"/>
      <c r="U71" s="702"/>
      <c r="V71" s="702"/>
      <c r="W71" s="703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</row>
    <row r="72" spans="2:73" x14ac:dyDescent="0.25">
      <c r="B72" s="195" t="s">
        <v>322</v>
      </c>
      <c r="C72" s="196">
        <v>1</v>
      </c>
      <c r="D72" s="196">
        <v>2</v>
      </c>
      <c r="E72" s="196">
        <v>3</v>
      </c>
      <c r="F72" s="196">
        <v>4</v>
      </c>
      <c r="G72" s="196">
        <v>5</v>
      </c>
      <c r="H72" s="196">
        <v>6</v>
      </c>
      <c r="I72" s="196">
        <v>7</v>
      </c>
      <c r="J72" s="196">
        <v>8</v>
      </c>
      <c r="K72" s="196">
        <v>9</v>
      </c>
      <c r="L72" s="196">
        <v>10</v>
      </c>
      <c r="M72" s="196">
        <v>11</v>
      </c>
      <c r="N72" s="196">
        <v>12</v>
      </c>
      <c r="O72" s="196">
        <v>13</v>
      </c>
      <c r="P72" s="196">
        <v>14</v>
      </c>
      <c r="Q72" s="196">
        <v>15</v>
      </c>
      <c r="R72" s="196">
        <v>16</v>
      </c>
      <c r="S72" s="196">
        <v>17</v>
      </c>
      <c r="T72" s="196">
        <v>18</v>
      </c>
      <c r="U72" s="196">
        <v>19</v>
      </c>
      <c r="V72" s="196">
        <v>20</v>
      </c>
      <c r="W72" s="197" t="s">
        <v>85</v>
      </c>
      <c r="X72" s="175"/>
      <c r="Y72" s="175"/>
      <c r="Z72" s="175"/>
      <c r="AA72" s="175"/>
      <c r="AB72" s="175"/>
      <c r="AC72" s="175"/>
      <c r="AD72" s="175"/>
      <c r="AE72" s="175"/>
      <c r="AF72" s="175"/>
      <c r="AG72" s="175"/>
      <c r="AH72" s="175"/>
      <c r="AI72" s="175"/>
      <c r="AJ72" s="175"/>
      <c r="AK72" s="175"/>
      <c r="AL72" s="175"/>
      <c r="AM72" s="175"/>
      <c r="AN72" s="175"/>
      <c r="AO72" s="175"/>
      <c r="AP72" s="175"/>
      <c r="AQ72" s="175"/>
      <c r="AR72" s="175"/>
      <c r="AS72" s="175"/>
      <c r="AT72" s="175"/>
      <c r="AU72" s="175"/>
      <c r="AV72" s="175"/>
      <c r="AW72" s="175"/>
      <c r="AX72" s="175"/>
      <c r="AY72" s="175"/>
      <c r="AZ72" s="175"/>
      <c r="BA72" s="175"/>
      <c r="BB72" s="175"/>
      <c r="BC72" s="175"/>
      <c r="BD72" s="175"/>
      <c r="BE72" s="175"/>
      <c r="BF72" s="175"/>
      <c r="BG72" s="175"/>
      <c r="BH72" s="175"/>
      <c r="BI72" s="175"/>
      <c r="BJ72" s="175"/>
      <c r="BK72" s="175"/>
      <c r="BL72" s="175"/>
      <c r="BM72" s="175"/>
      <c r="BN72" s="175"/>
      <c r="BO72" s="175"/>
      <c r="BP72" s="175"/>
      <c r="BQ72" s="175"/>
      <c r="BR72" s="175"/>
      <c r="BS72" s="175"/>
      <c r="BT72" s="175"/>
      <c r="BU72" s="175"/>
    </row>
    <row r="73" spans="2:73" ht="14.4" thickBot="1" x14ac:dyDescent="0.3">
      <c r="B73" s="39" t="s">
        <v>43</v>
      </c>
      <c r="C73" s="198">
        <v>13.97</v>
      </c>
      <c r="D73" s="198">
        <v>4.53</v>
      </c>
      <c r="E73" s="198">
        <v>3.31</v>
      </c>
      <c r="F73" s="198">
        <v>2.87</v>
      </c>
      <c r="G73" s="198">
        <v>2.65</v>
      </c>
      <c r="H73" s="198">
        <v>2.52</v>
      </c>
      <c r="I73" s="198">
        <v>2.4300000000000002</v>
      </c>
      <c r="J73" s="198">
        <v>2.37</v>
      </c>
      <c r="K73" s="198">
        <v>2.3199999999999998</v>
      </c>
      <c r="L73" s="198">
        <v>2.2799999999999998</v>
      </c>
      <c r="M73" s="198">
        <v>2.25</v>
      </c>
      <c r="N73" s="198">
        <v>2.23</v>
      </c>
      <c r="O73" s="198">
        <v>2.21</v>
      </c>
      <c r="P73" s="198">
        <v>2.2000000000000002</v>
      </c>
      <c r="Q73" s="198">
        <v>2.1800000000000002</v>
      </c>
      <c r="R73" s="198">
        <v>2.17</v>
      </c>
      <c r="S73" s="198">
        <v>2.16</v>
      </c>
      <c r="T73" s="198">
        <v>2.15</v>
      </c>
      <c r="U73" s="198">
        <v>2.14</v>
      </c>
      <c r="V73" s="198">
        <v>2.13</v>
      </c>
      <c r="W73" s="199">
        <v>2</v>
      </c>
      <c r="X73" s="175"/>
      <c r="Y73" s="175"/>
      <c r="Z73" s="175"/>
      <c r="AA73" s="175"/>
      <c r="AB73" s="175"/>
      <c r="AC73" s="175"/>
      <c r="AD73" s="175"/>
      <c r="AE73" s="175"/>
      <c r="AF73" s="175"/>
      <c r="AG73" s="175"/>
      <c r="AH73" s="175"/>
      <c r="AI73" s="175"/>
      <c r="AJ73" s="175"/>
      <c r="AK73" s="175"/>
      <c r="AL73" s="175"/>
      <c r="AM73" s="175"/>
      <c r="AN73" s="175"/>
      <c r="AO73" s="175"/>
      <c r="AP73" s="175"/>
      <c r="AQ73" s="175"/>
      <c r="AR73" s="175"/>
      <c r="AS73" s="175"/>
      <c r="AT73" s="175"/>
      <c r="AU73" s="175"/>
      <c r="AV73" s="175"/>
      <c r="AW73" s="175"/>
      <c r="AX73" s="175"/>
      <c r="AY73" s="175"/>
      <c r="AZ73" s="175"/>
      <c r="BA73" s="175"/>
      <c r="BB73" s="175"/>
      <c r="BC73" s="175"/>
      <c r="BD73" s="175"/>
      <c r="BE73" s="175"/>
      <c r="BF73" s="175"/>
      <c r="BG73" s="175"/>
      <c r="BH73" s="175"/>
      <c r="BI73" s="175"/>
      <c r="BJ73" s="175"/>
      <c r="BK73" s="175"/>
      <c r="BL73" s="175"/>
      <c r="BM73" s="175"/>
      <c r="BN73" s="175"/>
      <c r="BO73" s="175"/>
      <c r="BP73" s="175"/>
      <c r="BQ73" s="175"/>
      <c r="BR73" s="175"/>
      <c r="BS73" s="175"/>
      <c r="BT73" s="175"/>
      <c r="BU73" s="175"/>
    </row>
    <row r="74" spans="2:73" x14ac:dyDescent="0.25">
      <c r="X74" s="175"/>
      <c r="Y74" s="175"/>
      <c r="Z74" s="175"/>
      <c r="AA74" s="175"/>
      <c r="AB74" s="175"/>
      <c r="AC74" s="175"/>
      <c r="AD74" s="175"/>
      <c r="AE74" s="175"/>
      <c r="AF74" s="175"/>
      <c r="AG74" s="175"/>
      <c r="AH74" s="175"/>
      <c r="AI74" s="175"/>
      <c r="AJ74" s="175"/>
      <c r="AK74" s="175"/>
      <c r="AL74" s="175"/>
      <c r="AM74" s="175"/>
      <c r="AN74" s="175"/>
      <c r="AO74" s="175"/>
      <c r="AP74" s="175"/>
      <c r="AQ74" s="175"/>
      <c r="AR74" s="175"/>
      <c r="AS74" s="175"/>
      <c r="AT74" s="175"/>
      <c r="AU74" s="175"/>
      <c r="AV74" s="175"/>
      <c r="AW74" s="175"/>
      <c r="AX74" s="175"/>
      <c r="AY74" s="175"/>
      <c r="AZ74" s="175"/>
      <c r="BA74" s="175"/>
      <c r="BB74" s="175"/>
      <c r="BC74" s="175"/>
      <c r="BD74" s="175"/>
      <c r="BE74" s="175"/>
      <c r="BF74" s="175"/>
      <c r="BG74" s="175"/>
      <c r="BH74" s="175"/>
      <c r="BI74" s="175"/>
      <c r="BJ74" s="175"/>
      <c r="BK74" s="175"/>
      <c r="BL74" s="175"/>
      <c r="BM74" s="175"/>
      <c r="BN74" s="175"/>
      <c r="BO74" s="175"/>
      <c r="BP74" s="175"/>
      <c r="BQ74" s="175"/>
      <c r="BR74" s="175"/>
      <c r="BS74" s="175"/>
      <c r="BT74" s="175"/>
      <c r="BU74" s="175"/>
    </row>
    <row r="90" spans="8:50" x14ac:dyDescent="0.25">
      <c r="AF90" s="174">
        <f>IF(D7="g",C7*1000,IF(D7="kg",C7*1000000,IF(D7="mg",C7,"Error")))</f>
        <v>0</v>
      </c>
    </row>
    <row r="93" spans="8:50" x14ac:dyDescent="0.25">
      <c r="H93" s="174">
        <v>1</v>
      </c>
      <c r="I93" s="174">
        <v>2</v>
      </c>
      <c r="J93" s="174">
        <v>3</v>
      </c>
      <c r="K93" s="174">
        <v>4</v>
      </c>
      <c r="L93" s="174">
        <v>5</v>
      </c>
      <c r="M93" s="174">
        <v>6</v>
      </c>
      <c r="N93" s="174">
        <v>7</v>
      </c>
      <c r="O93" s="174">
        <v>8</v>
      </c>
      <c r="P93" s="174">
        <v>9</v>
      </c>
      <c r="Q93" s="174">
        <v>10</v>
      </c>
      <c r="R93" s="174">
        <v>11</v>
      </c>
      <c r="S93" s="174">
        <v>12</v>
      </c>
      <c r="T93" s="174">
        <v>13</v>
      </c>
      <c r="U93" s="174">
        <v>14</v>
      </c>
      <c r="V93" s="174">
        <v>15</v>
      </c>
      <c r="W93" s="174">
        <v>16</v>
      </c>
      <c r="X93" s="174">
        <v>17</v>
      </c>
      <c r="Y93" s="174">
        <v>18</v>
      </c>
      <c r="Z93" s="174">
        <v>19</v>
      </c>
    </row>
    <row r="94" spans="8:50" ht="45" x14ac:dyDescent="0.25">
      <c r="H94" s="200" t="s">
        <v>23</v>
      </c>
      <c r="I94" s="201" t="s">
        <v>24</v>
      </c>
      <c r="J94" s="201" t="s">
        <v>10</v>
      </c>
      <c r="K94" s="201" t="s">
        <v>16</v>
      </c>
      <c r="L94" s="201" t="s">
        <v>531</v>
      </c>
      <c r="M94" s="201" t="s">
        <v>713</v>
      </c>
      <c r="N94" s="201" t="s">
        <v>532</v>
      </c>
      <c r="O94" s="201" t="s">
        <v>712</v>
      </c>
      <c r="P94" s="201" t="s">
        <v>533</v>
      </c>
      <c r="Q94" s="201" t="s">
        <v>736</v>
      </c>
      <c r="R94" s="201" t="s">
        <v>22</v>
      </c>
      <c r="S94" s="201" t="s">
        <v>83</v>
      </c>
      <c r="T94" s="201" t="s">
        <v>37</v>
      </c>
      <c r="U94" s="201" t="s">
        <v>82</v>
      </c>
      <c r="V94" s="201" t="s">
        <v>36</v>
      </c>
      <c r="W94" s="201" t="s">
        <v>534</v>
      </c>
      <c r="X94" s="201" t="s">
        <v>297</v>
      </c>
      <c r="Y94" s="201" t="s">
        <v>535</v>
      </c>
      <c r="Z94" s="201" t="s">
        <v>536</v>
      </c>
      <c r="AF94" s="683" t="s">
        <v>18</v>
      </c>
      <c r="AG94" s="683"/>
      <c r="AH94" s="683"/>
      <c r="AI94" s="683"/>
      <c r="AJ94" s="683"/>
      <c r="AK94" s="683"/>
      <c r="AL94" s="683"/>
      <c r="AM94" s="683"/>
      <c r="AQ94" s="683" t="s">
        <v>18</v>
      </c>
      <c r="AR94" s="683"/>
      <c r="AS94" s="683"/>
      <c r="AT94" s="683"/>
      <c r="AU94" s="683"/>
      <c r="AV94" s="683"/>
      <c r="AW94" s="683"/>
      <c r="AX94" s="683"/>
    </row>
    <row r="95" spans="8:50" x14ac:dyDescent="0.25">
      <c r="H95" s="202">
        <v>1</v>
      </c>
      <c r="I95" s="203" t="s">
        <v>28</v>
      </c>
      <c r="J95" s="203" t="s">
        <v>28</v>
      </c>
      <c r="K95" s="203" t="s">
        <v>28</v>
      </c>
      <c r="L95" s="203" t="s">
        <v>28</v>
      </c>
      <c r="M95" s="203" t="s">
        <v>28</v>
      </c>
      <c r="N95" s="203" t="s">
        <v>28</v>
      </c>
      <c r="O95" s="203" t="s">
        <v>28</v>
      </c>
      <c r="P95" s="203" t="s">
        <v>28</v>
      </c>
      <c r="Q95" s="203" t="s">
        <v>28</v>
      </c>
      <c r="R95" s="203" t="s">
        <v>28</v>
      </c>
      <c r="S95" s="203" t="s">
        <v>28</v>
      </c>
      <c r="T95" s="203" t="s">
        <v>28</v>
      </c>
      <c r="U95" s="203" t="s">
        <v>28</v>
      </c>
      <c r="V95" s="203" t="s">
        <v>28</v>
      </c>
      <c r="W95" s="203" t="s">
        <v>28</v>
      </c>
      <c r="X95" s="203" t="s">
        <v>28</v>
      </c>
      <c r="Y95" s="203" t="s">
        <v>28</v>
      </c>
      <c r="Z95" s="231" t="s">
        <v>28</v>
      </c>
      <c r="AF95" s="9" t="s">
        <v>19</v>
      </c>
      <c r="AG95" s="683" t="s">
        <v>20</v>
      </c>
      <c r="AH95" s="683"/>
      <c r="AI95" s="683"/>
      <c r="AJ95" s="683"/>
      <c r="AK95" s="683"/>
      <c r="AL95" s="683"/>
      <c r="AM95" s="683"/>
      <c r="AQ95" s="9" t="s">
        <v>19</v>
      </c>
      <c r="AR95" s="683" t="s">
        <v>20</v>
      </c>
      <c r="AS95" s="683"/>
      <c r="AT95" s="683"/>
      <c r="AU95" s="683"/>
      <c r="AV95" s="683"/>
      <c r="AW95" s="683"/>
      <c r="AX95" s="683"/>
    </row>
    <row r="96" spans="8:50" x14ac:dyDescent="0.25">
      <c r="H96" s="202">
        <v>2</v>
      </c>
      <c r="I96" s="203" t="s">
        <v>28</v>
      </c>
      <c r="J96" s="203" t="s">
        <v>28</v>
      </c>
      <c r="K96" s="203" t="s">
        <v>28</v>
      </c>
      <c r="L96" s="203" t="s">
        <v>28</v>
      </c>
      <c r="M96" s="203" t="s">
        <v>28</v>
      </c>
      <c r="N96" s="203" t="s">
        <v>28</v>
      </c>
      <c r="O96" s="203" t="s">
        <v>28</v>
      </c>
      <c r="P96" s="203" t="s">
        <v>28</v>
      </c>
      <c r="Q96" s="203" t="s">
        <v>28</v>
      </c>
      <c r="R96" s="203" t="s">
        <v>28</v>
      </c>
      <c r="S96" s="203" t="s">
        <v>28</v>
      </c>
      <c r="T96" s="203" t="s">
        <v>28</v>
      </c>
      <c r="U96" s="203" t="s">
        <v>28</v>
      </c>
      <c r="V96" s="203" t="s">
        <v>28</v>
      </c>
      <c r="W96" s="203" t="s">
        <v>28</v>
      </c>
      <c r="X96" s="203" t="s">
        <v>28</v>
      </c>
      <c r="Y96" s="203" t="s">
        <v>28</v>
      </c>
      <c r="Z96" s="231" t="s">
        <v>28</v>
      </c>
      <c r="AF96" s="9"/>
      <c r="AG96" s="58" t="s">
        <v>34</v>
      </c>
      <c r="AH96" s="58" t="s">
        <v>26</v>
      </c>
      <c r="AI96" s="58" t="s">
        <v>31</v>
      </c>
      <c r="AJ96" s="58" t="s">
        <v>29</v>
      </c>
      <c r="AK96" s="58" t="s">
        <v>30</v>
      </c>
      <c r="AL96" s="58" t="s">
        <v>35</v>
      </c>
      <c r="AQ96" s="9"/>
      <c r="AR96" s="8" t="s">
        <v>33</v>
      </c>
      <c r="AS96" s="58" t="s">
        <v>34</v>
      </c>
      <c r="AT96" s="58" t="s">
        <v>26</v>
      </c>
      <c r="AU96" s="58" t="s">
        <v>31</v>
      </c>
      <c r="AV96" s="58" t="s">
        <v>29</v>
      </c>
      <c r="AW96" s="58" t="s">
        <v>30</v>
      </c>
      <c r="AX96" s="58" t="s">
        <v>35</v>
      </c>
    </row>
    <row r="97" spans="1:50" x14ac:dyDescent="0.25">
      <c r="H97" s="202">
        <v>3</v>
      </c>
      <c r="I97" s="204" t="s">
        <v>76</v>
      </c>
      <c r="J97" s="202" t="s">
        <v>25</v>
      </c>
      <c r="K97" s="203" t="s">
        <v>26</v>
      </c>
      <c r="L97" s="205">
        <v>0.02</v>
      </c>
      <c r="M97" s="206">
        <v>1.9999999999999999E-6</v>
      </c>
      <c r="N97" s="266">
        <f>tblBD_PatronMasa1315[[#This Row],[Masa nominal mN                              (g)]]+(tblBD_PatronMasa1315[[#This Row],[Error certificado calibración δmc                  (mg)]])/1000</f>
        <v>2.0000001999999999E-2</v>
      </c>
      <c r="O97" s="206">
        <v>1.1E-5</v>
      </c>
      <c r="P97" s="221">
        <f>tblBD_PatronMasa1315[[#This Row],[mpe]]/3</f>
        <v>1.0000000000000001E-5</v>
      </c>
      <c r="Q97" s="207">
        <f>tblBD_PatronMasa1315[[#This Row],[Deriva D D&lt;=mpe/3]]/SQRT(3)</f>
        <v>5.7735026918962587E-6</v>
      </c>
      <c r="R97" s="208"/>
      <c r="S97" s="209">
        <v>3.0000000000000001E-5</v>
      </c>
      <c r="T97" s="210">
        <v>45328</v>
      </c>
      <c r="U97" s="208" t="s">
        <v>1427</v>
      </c>
      <c r="V97" s="202" t="s">
        <v>38</v>
      </c>
      <c r="W97" s="202">
        <v>7950</v>
      </c>
      <c r="X97" s="202">
        <v>70</v>
      </c>
      <c r="Y9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2">
        <f>AQ97*1000</f>
        <v>50000000</v>
      </c>
      <c r="AG97" s="1">
        <f>IF($AF$90=AF97,AS97,AG98)</f>
        <v>0</v>
      </c>
      <c r="AH97" s="1">
        <f>IF($AF$90=AF97,AT97,AH98)</f>
        <v>0</v>
      </c>
      <c r="AI97" s="1">
        <f>IF($AF$90=AF97,AU97,AI98)</f>
        <v>0</v>
      </c>
      <c r="AJ97" s="1">
        <f>IF($AF$90=AF97,AV97,AJ98)</f>
        <v>0</v>
      </c>
      <c r="AK97" s="1">
        <f>IF($AF$90=AF97,AW97,AK98)</f>
        <v>0</v>
      </c>
      <c r="AL97" s="1">
        <f>IF($AF$90=AF97,AX97,AL98)</f>
        <v>0</v>
      </c>
      <c r="AM97" s="2"/>
      <c r="AQ97" s="2">
        <v>50000</v>
      </c>
      <c r="AR97" s="2">
        <v>80</v>
      </c>
      <c r="AS97" s="2">
        <v>80</v>
      </c>
      <c r="AT97" s="2">
        <v>250</v>
      </c>
      <c r="AU97" s="2">
        <v>800</v>
      </c>
      <c r="AV97" s="2">
        <v>2500</v>
      </c>
      <c r="AW97" s="2">
        <v>8000</v>
      </c>
      <c r="AX97" s="2">
        <v>25000</v>
      </c>
    </row>
    <row r="98" spans="1:50" x14ac:dyDescent="0.25">
      <c r="H98" s="202">
        <v>4</v>
      </c>
      <c r="I98" s="204" t="s">
        <v>77</v>
      </c>
      <c r="J98" s="202" t="s">
        <v>25</v>
      </c>
      <c r="K98" s="203" t="s">
        <v>26</v>
      </c>
      <c r="L98" s="205">
        <v>0.05</v>
      </c>
      <c r="M98" s="206">
        <v>1.9999999999999999E-6</v>
      </c>
      <c r="N98" s="266">
        <f>tblBD_PatronMasa1315[[#This Row],[Masa nominal mN                              (g)]]+(tblBD_PatronMasa1315[[#This Row],[Error certificado calibración δmc                  (mg)]])/1000</f>
        <v>5.0000002000000002E-2</v>
      </c>
      <c r="O98" s="206">
        <v>1.0000000000000001E-5</v>
      </c>
      <c r="P98" s="221">
        <f>tblBD_PatronMasa1315[[#This Row],[mpe]]/3</f>
        <v>1.3333333333333335E-5</v>
      </c>
      <c r="Q98" s="207">
        <f>tblBD_PatronMasa1315[[#This Row],[Deriva D D&lt;=mpe/3]]/SQRT(3)</f>
        <v>7.6980035891950116E-6</v>
      </c>
      <c r="R98" s="208"/>
      <c r="S98" s="209">
        <v>4.0000000000000003E-5</v>
      </c>
      <c r="T98" s="210">
        <v>45328</v>
      </c>
      <c r="U98" s="208" t="s">
        <v>1427</v>
      </c>
      <c r="V98" s="202" t="s">
        <v>38</v>
      </c>
      <c r="W98" s="202">
        <v>7950</v>
      </c>
      <c r="X98" s="202">
        <v>70</v>
      </c>
      <c r="Y9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2">
        <f t="shared" ref="AF98:AF120" si="10">AQ98*1000</f>
        <v>20000000</v>
      </c>
      <c r="AG98" s="1">
        <f t="shared" ref="AG98:AG120" si="11">IF($AF$90=AF98,AS98,AG99)</f>
        <v>0</v>
      </c>
      <c r="AH98" s="1">
        <f t="shared" ref="AH98:AH120" si="12">IF($AF$90=AF98,AT98,AH99)</f>
        <v>0</v>
      </c>
      <c r="AI98" s="1">
        <f t="shared" ref="AI98:AI120" si="13">IF($AF$90=AF98,AU98,AI99)</f>
        <v>0</v>
      </c>
      <c r="AJ98" s="1">
        <f t="shared" ref="AJ98:AJ120" si="14">IF($AF$90=AF98,AV98,AJ99)</f>
        <v>0</v>
      </c>
      <c r="AK98" s="1">
        <f t="shared" ref="AK98:AK120" si="15">IF($AF$90=AF98,AW98,AK99)</f>
        <v>0</v>
      </c>
      <c r="AL98" s="1">
        <f t="shared" ref="AL98:AL120" si="16">IF($AF$90=AF98,AX98,AL99)</f>
        <v>0</v>
      </c>
      <c r="AM98" s="2"/>
      <c r="AQ98" s="2">
        <v>20000</v>
      </c>
      <c r="AR98" s="2">
        <v>10</v>
      </c>
      <c r="AS98" s="2">
        <v>30</v>
      </c>
      <c r="AT98" s="2">
        <v>100</v>
      </c>
      <c r="AU98" s="2">
        <v>300</v>
      </c>
      <c r="AV98" s="2">
        <v>1000</v>
      </c>
      <c r="AW98" s="2">
        <v>3000</v>
      </c>
      <c r="AX98" s="2">
        <v>10000</v>
      </c>
    </row>
    <row r="99" spans="1:50" x14ac:dyDescent="0.25">
      <c r="H99" s="202">
        <v>5</v>
      </c>
      <c r="I99" s="204" t="s">
        <v>78</v>
      </c>
      <c r="J99" s="202" t="s">
        <v>25</v>
      </c>
      <c r="K99" s="203" t="s">
        <v>26</v>
      </c>
      <c r="L99" s="211">
        <v>0.1</v>
      </c>
      <c r="M99" s="206">
        <v>0</v>
      </c>
      <c r="N99" s="266">
        <f>tblBD_PatronMasa1315[[#This Row],[Masa nominal mN                              (g)]]+(tblBD_PatronMasa1315[[#This Row],[Error certificado calibración δmc                  (mg)]])/1000</f>
        <v>0.1</v>
      </c>
      <c r="O99" s="206">
        <v>1.2999999999999999E-5</v>
      </c>
      <c r="P99" s="221">
        <f>tblBD_PatronMasa1315[[#This Row],[mpe]]/3</f>
        <v>1.6666666666666667E-5</v>
      </c>
      <c r="Q99" s="207">
        <f>tblBD_PatronMasa1315[[#This Row],[Deriva D D&lt;=mpe/3]]/SQRT(3)</f>
        <v>9.6225044864937636E-6</v>
      </c>
      <c r="R99" s="208"/>
      <c r="S99" s="209">
        <v>5.0000000000000002E-5</v>
      </c>
      <c r="T99" s="210">
        <v>45328</v>
      </c>
      <c r="U99" s="208" t="s">
        <v>1427</v>
      </c>
      <c r="V99" s="202" t="s">
        <v>38</v>
      </c>
      <c r="W99" s="202">
        <v>7950</v>
      </c>
      <c r="X99" s="202">
        <v>70</v>
      </c>
      <c r="Y9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212"/>
      <c r="AF99" s="2">
        <f t="shared" si="10"/>
        <v>10000000</v>
      </c>
      <c r="AG99" s="1">
        <f t="shared" si="11"/>
        <v>0</v>
      </c>
      <c r="AH99" s="1">
        <f t="shared" si="12"/>
        <v>0</v>
      </c>
      <c r="AI99" s="1">
        <f t="shared" si="13"/>
        <v>0</v>
      </c>
      <c r="AJ99" s="1">
        <f t="shared" si="14"/>
        <v>0</v>
      </c>
      <c r="AK99" s="1">
        <f t="shared" si="15"/>
        <v>0</v>
      </c>
      <c r="AL99" s="1">
        <f t="shared" si="16"/>
        <v>0</v>
      </c>
      <c r="AM99" s="2"/>
      <c r="AQ99" s="2">
        <v>10000</v>
      </c>
      <c r="AR99" s="2">
        <v>5</v>
      </c>
      <c r="AS99" s="2">
        <v>16</v>
      </c>
      <c r="AT99" s="2">
        <v>50</v>
      </c>
      <c r="AU99" s="2">
        <v>160</v>
      </c>
      <c r="AV99" s="2">
        <v>500</v>
      </c>
      <c r="AW99" s="2">
        <v>1600</v>
      </c>
      <c r="AX99" s="2">
        <v>5000</v>
      </c>
    </row>
    <row r="100" spans="1:50" x14ac:dyDescent="0.25">
      <c r="H100" s="202">
        <v>6</v>
      </c>
      <c r="I100" s="204" t="s">
        <v>79</v>
      </c>
      <c r="J100" s="202" t="s">
        <v>25</v>
      </c>
      <c r="K100" s="203" t="s">
        <v>26</v>
      </c>
      <c r="L100" s="211">
        <v>0.2</v>
      </c>
      <c r="M100" s="206">
        <v>1.5999999999999999E-5</v>
      </c>
      <c r="N100" s="266">
        <f>tblBD_PatronMasa1315[[#This Row],[Masa nominal mN                              (g)]]+(tblBD_PatronMasa1315[[#This Row],[Error certificado calibración δmc                  (mg)]])/1000</f>
        <v>0.200000016</v>
      </c>
      <c r="O100" s="206">
        <v>1.4E-5</v>
      </c>
      <c r="P100" s="221">
        <f>tblBD_PatronMasa1315[[#This Row],[mpe]]/3</f>
        <v>2.0000000000000002E-5</v>
      </c>
      <c r="Q100" s="207">
        <f>tblBD_PatronMasa1315[[#This Row],[Deriva D D&lt;=mpe/3]]/SQRT(3)</f>
        <v>1.1547005383792517E-5</v>
      </c>
      <c r="R100" s="208"/>
      <c r="S100" s="209">
        <v>6.0000000000000002E-5</v>
      </c>
      <c r="T100" s="210">
        <v>45328</v>
      </c>
      <c r="U100" s="208" t="s">
        <v>1427</v>
      </c>
      <c r="V100" s="202" t="s">
        <v>38</v>
      </c>
      <c r="W100" s="202">
        <v>7950</v>
      </c>
      <c r="X100" s="202">
        <v>70</v>
      </c>
      <c r="Y10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213"/>
      <c r="AF100" s="2">
        <f t="shared" si="10"/>
        <v>5000000</v>
      </c>
      <c r="AG100" s="1">
        <f t="shared" si="11"/>
        <v>0</v>
      </c>
      <c r="AH100" s="1">
        <f t="shared" si="12"/>
        <v>0</v>
      </c>
      <c r="AI100" s="1">
        <f t="shared" si="13"/>
        <v>0</v>
      </c>
      <c r="AJ100" s="1">
        <f t="shared" si="14"/>
        <v>0</v>
      </c>
      <c r="AK100" s="1">
        <f t="shared" si="15"/>
        <v>0</v>
      </c>
      <c r="AL100" s="1">
        <f t="shared" si="16"/>
        <v>0</v>
      </c>
      <c r="AM100" s="2"/>
      <c r="AQ100" s="2">
        <v>5000</v>
      </c>
      <c r="AR100" s="4">
        <v>2.5</v>
      </c>
      <c r="AS100" s="2">
        <v>8</v>
      </c>
      <c r="AT100" s="2">
        <v>25</v>
      </c>
      <c r="AU100" s="2">
        <v>80</v>
      </c>
      <c r="AV100" s="2">
        <v>250</v>
      </c>
      <c r="AW100" s="2">
        <v>800</v>
      </c>
      <c r="AX100" s="2">
        <v>2500</v>
      </c>
    </row>
    <row r="101" spans="1:50" x14ac:dyDescent="0.25">
      <c r="H101" s="202">
        <v>7</v>
      </c>
      <c r="I101" s="204" t="s">
        <v>80</v>
      </c>
      <c r="J101" s="202" t="s">
        <v>25</v>
      </c>
      <c r="K101" s="203" t="s">
        <v>26</v>
      </c>
      <c r="L101" s="211">
        <v>0.5</v>
      </c>
      <c r="M101" s="206">
        <v>3.8000000000000002E-5</v>
      </c>
      <c r="N101" s="266">
        <f>tblBD_PatronMasa1315[[#This Row],[Masa nominal mN                              (g)]]+(tblBD_PatronMasa1315[[#This Row],[Error certificado calibración δmc                  (mg)]])/1000</f>
        <v>0.50000003800000004</v>
      </c>
      <c r="O101" s="206">
        <v>1.7E-5</v>
      </c>
      <c r="P101" s="221">
        <f>tblBD_PatronMasa1315[[#This Row],[mpe]]/3</f>
        <v>2.666666666666667E-5</v>
      </c>
      <c r="Q101" s="207">
        <f>tblBD_PatronMasa1315[[#This Row],[Deriva D D&lt;=mpe/3]]/SQRT(3)</f>
        <v>1.5396007178390023E-5</v>
      </c>
      <c r="R101" s="208"/>
      <c r="S101" s="209">
        <v>8.0000000000000007E-5</v>
      </c>
      <c r="T101" s="210">
        <v>45328</v>
      </c>
      <c r="U101" s="208" t="s">
        <v>1427</v>
      </c>
      <c r="V101" s="202" t="s">
        <v>38</v>
      </c>
      <c r="W101" s="202">
        <v>7950</v>
      </c>
      <c r="X101" s="202">
        <v>70</v>
      </c>
      <c r="Y10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212"/>
      <c r="AF101" s="2">
        <f t="shared" si="10"/>
        <v>2000000</v>
      </c>
      <c r="AG101" s="1">
        <f t="shared" si="11"/>
        <v>0</v>
      </c>
      <c r="AH101" s="1">
        <f t="shared" si="12"/>
        <v>0</v>
      </c>
      <c r="AI101" s="1">
        <f t="shared" si="13"/>
        <v>0</v>
      </c>
      <c r="AJ101" s="1">
        <f t="shared" si="14"/>
        <v>0</v>
      </c>
      <c r="AK101" s="1">
        <f t="shared" si="15"/>
        <v>0</v>
      </c>
      <c r="AL101" s="1">
        <f t="shared" si="16"/>
        <v>0</v>
      </c>
      <c r="AM101" s="2"/>
      <c r="AQ101" s="2">
        <v>2000</v>
      </c>
      <c r="AR101" s="2">
        <v>1</v>
      </c>
      <c r="AS101" s="2">
        <v>3</v>
      </c>
      <c r="AT101" s="2">
        <v>10</v>
      </c>
      <c r="AU101" s="2">
        <v>30</v>
      </c>
      <c r="AV101" s="2">
        <v>100</v>
      </c>
      <c r="AW101" s="2">
        <v>300</v>
      </c>
      <c r="AX101" s="2">
        <v>1000</v>
      </c>
    </row>
    <row r="102" spans="1:50" x14ac:dyDescent="0.25">
      <c r="H102" s="202">
        <v>8</v>
      </c>
      <c r="I102" s="204" t="s">
        <v>45</v>
      </c>
      <c r="J102" s="202" t="s">
        <v>27</v>
      </c>
      <c r="K102" s="203" t="s">
        <v>26</v>
      </c>
      <c r="L102" s="214">
        <v>1</v>
      </c>
      <c r="M102" s="206">
        <v>1.5999999999999999E-5</v>
      </c>
      <c r="N102" s="266">
        <f>tblBD_PatronMasa1315[[#This Row],[Masa nominal mN                              (g)]]+(tblBD_PatronMasa1315[[#This Row],[Error certificado calibración δmc                  (mg)]])/1000</f>
        <v>1.000000016</v>
      </c>
      <c r="O102" s="206">
        <v>3.3000000000000003E-5</v>
      </c>
      <c r="P102" s="221">
        <f>tblBD_PatronMasa1315[[#This Row],[mpe]]/3</f>
        <v>3.3333333333333335E-5</v>
      </c>
      <c r="Q102" s="207">
        <f>tblBD_PatronMasa1315[[#This Row],[Deriva D D&lt;=mpe/3]]/SQRT(3)</f>
        <v>1.9245008972987527E-5</v>
      </c>
      <c r="R102" s="208"/>
      <c r="S102" s="209">
        <v>1E-4</v>
      </c>
      <c r="T102" s="210">
        <v>45124</v>
      </c>
      <c r="U102" s="208" t="s">
        <v>1419</v>
      </c>
      <c r="V102" s="202" t="s">
        <v>38</v>
      </c>
      <c r="W102" s="202">
        <v>7950</v>
      </c>
      <c r="X102" s="202">
        <v>70</v>
      </c>
      <c r="Y10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212"/>
      <c r="AF102" s="2">
        <f t="shared" si="10"/>
        <v>1000000</v>
      </c>
      <c r="AG102" s="1">
        <f t="shared" si="11"/>
        <v>0</v>
      </c>
      <c r="AH102" s="1">
        <f t="shared" si="12"/>
        <v>0</v>
      </c>
      <c r="AI102" s="1">
        <f t="shared" si="13"/>
        <v>0</v>
      </c>
      <c r="AJ102" s="1">
        <f t="shared" si="14"/>
        <v>0</v>
      </c>
      <c r="AK102" s="1">
        <f t="shared" si="15"/>
        <v>0</v>
      </c>
      <c r="AL102" s="1">
        <f t="shared" si="16"/>
        <v>0</v>
      </c>
      <c r="AM102" s="2"/>
      <c r="AQ102" s="2">
        <v>1000</v>
      </c>
      <c r="AR102" s="3">
        <v>0.5</v>
      </c>
      <c r="AS102" s="4">
        <v>1.6</v>
      </c>
      <c r="AT102" s="2">
        <v>5</v>
      </c>
      <c r="AU102" s="2">
        <v>16</v>
      </c>
      <c r="AV102" s="2">
        <v>50</v>
      </c>
      <c r="AW102" s="2">
        <v>160</v>
      </c>
      <c r="AX102" s="2">
        <v>500</v>
      </c>
    </row>
    <row r="103" spans="1:50" x14ac:dyDescent="0.25">
      <c r="H103" s="202">
        <v>9</v>
      </c>
      <c r="I103" s="204" t="s">
        <v>46</v>
      </c>
      <c r="J103" s="202" t="s">
        <v>25</v>
      </c>
      <c r="K103" s="203" t="s">
        <v>26</v>
      </c>
      <c r="L103" s="214">
        <v>2</v>
      </c>
      <c r="M103" s="206">
        <v>-3.4999999999999997E-5</v>
      </c>
      <c r="N103" s="266">
        <f>tblBD_PatronMasa1315[[#This Row],[Masa nominal mN                              (g)]]+(tblBD_PatronMasa1315[[#This Row],[Error certificado calibración δmc                  (mg)]])/1000</f>
        <v>1.999999965</v>
      </c>
      <c r="O103" s="206">
        <v>8.2999999999999998E-5</v>
      </c>
      <c r="P103" s="221">
        <f>tblBD_PatronMasa1315[[#This Row],[mpe]]/3</f>
        <v>4.0000000000000003E-5</v>
      </c>
      <c r="Q103" s="207">
        <f>tblBD_PatronMasa1315[[#This Row],[Deriva D D&lt;=mpe/3]]/SQRT(3)</f>
        <v>2.3094010767585035E-5</v>
      </c>
      <c r="R103" s="208"/>
      <c r="S103" s="209">
        <v>1.2E-4</v>
      </c>
      <c r="T103" s="210">
        <v>45328</v>
      </c>
      <c r="U103" s="208" t="s">
        <v>1427</v>
      </c>
      <c r="V103" s="202" t="s">
        <v>38</v>
      </c>
      <c r="W103" s="202">
        <v>7950</v>
      </c>
      <c r="X103" s="202">
        <v>70</v>
      </c>
      <c r="Y10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212"/>
      <c r="AF103" s="2">
        <f t="shared" si="10"/>
        <v>500000</v>
      </c>
      <c r="AG103" s="1">
        <f t="shared" si="11"/>
        <v>0</v>
      </c>
      <c r="AH103" s="1">
        <f t="shared" si="12"/>
        <v>0</v>
      </c>
      <c r="AI103" s="1">
        <f t="shared" si="13"/>
        <v>0</v>
      </c>
      <c r="AJ103" s="1">
        <f t="shared" si="14"/>
        <v>0</v>
      </c>
      <c r="AK103" s="1">
        <f t="shared" si="15"/>
        <v>0</v>
      </c>
      <c r="AL103" s="1">
        <f t="shared" si="16"/>
        <v>0</v>
      </c>
      <c r="AM103" s="5"/>
      <c r="AQ103" s="2">
        <v>500</v>
      </c>
      <c r="AR103" s="3">
        <v>0.25</v>
      </c>
      <c r="AS103" s="4">
        <v>0.8</v>
      </c>
      <c r="AT103" s="2">
        <v>2.5</v>
      </c>
      <c r="AU103" s="2">
        <v>8</v>
      </c>
      <c r="AV103" s="2">
        <v>25</v>
      </c>
      <c r="AW103" s="5">
        <v>80</v>
      </c>
      <c r="AX103" s="5">
        <v>250</v>
      </c>
    </row>
    <row r="104" spans="1:50" x14ac:dyDescent="0.25">
      <c r="H104" s="202">
        <v>10</v>
      </c>
      <c r="I104" s="204" t="s">
        <v>47</v>
      </c>
      <c r="J104" s="202" t="s">
        <v>27</v>
      </c>
      <c r="K104" s="203" t="s">
        <v>26</v>
      </c>
      <c r="L104" s="214">
        <v>2</v>
      </c>
      <c r="M104" s="206">
        <v>3.6000000000000001E-5</v>
      </c>
      <c r="N104" s="266">
        <f>tblBD_PatronMasa1315[[#This Row],[Masa nominal mN                              (g)]]+(tblBD_PatronMasa1315[[#This Row],[Error certificado calibración δmc                  (mg)]])/1000</f>
        <v>2.0000000359999999</v>
      </c>
      <c r="O104" s="206">
        <v>4.0000000000000003E-5</v>
      </c>
      <c r="P104" s="221">
        <f>tblBD_PatronMasa1315[[#This Row],[mpe]]/3</f>
        <v>4.0000000000000003E-5</v>
      </c>
      <c r="Q104" s="207">
        <f>tblBD_PatronMasa1315[[#This Row],[Deriva D D&lt;=mpe/3]]/SQRT(3)</f>
        <v>2.3094010767585035E-5</v>
      </c>
      <c r="R104" s="208"/>
      <c r="S104" s="209">
        <v>1.2E-4</v>
      </c>
      <c r="T104" s="210">
        <v>45124</v>
      </c>
      <c r="U104" s="208" t="s">
        <v>1419</v>
      </c>
      <c r="V104" s="202" t="s">
        <v>38</v>
      </c>
      <c r="W104" s="202">
        <v>7950</v>
      </c>
      <c r="X104" s="202">
        <v>70</v>
      </c>
      <c r="Y10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212"/>
      <c r="AF104" s="2">
        <f t="shared" si="10"/>
        <v>200000</v>
      </c>
      <c r="AG104" s="1">
        <f t="shared" si="11"/>
        <v>0</v>
      </c>
      <c r="AH104" s="1">
        <f t="shared" si="12"/>
        <v>0</v>
      </c>
      <c r="AI104" s="1">
        <f t="shared" si="13"/>
        <v>0</v>
      </c>
      <c r="AJ104" s="1">
        <f t="shared" si="14"/>
        <v>0</v>
      </c>
      <c r="AK104" s="1">
        <f t="shared" si="15"/>
        <v>0</v>
      </c>
      <c r="AL104" s="1">
        <f t="shared" si="16"/>
        <v>0</v>
      </c>
      <c r="AM104" s="5"/>
      <c r="AQ104" s="2">
        <v>200</v>
      </c>
      <c r="AR104" s="3">
        <v>0.1</v>
      </c>
      <c r="AS104" s="4">
        <v>0.3</v>
      </c>
      <c r="AT104" s="2">
        <v>1</v>
      </c>
      <c r="AU104" s="2">
        <v>3</v>
      </c>
      <c r="AV104" s="2">
        <v>10</v>
      </c>
      <c r="AW104" s="5">
        <v>30</v>
      </c>
      <c r="AX104" s="5">
        <v>100</v>
      </c>
    </row>
    <row r="105" spans="1:50" x14ac:dyDescent="0.25">
      <c r="A105" s="173" t="s">
        <v>102</v>
      </c>
      <c r="H105" s="202">
        <v>11</v>
      </c>
      <c r="I105" s="204" t="s">
        <v>48</v>
      </c>
      <c r="J105" s="202" t="s">
        <v>27</v>
      </c>
      <c r="K105" s="203" t="s">
        <v>26</v>
      </c>
      <c r="L105" s="214">
        <v>2</v>
      </c>
      <c r="M105" s="206">
        <v>3.6000000000000001E-5</v>
      </c>
      <c r="N105" s="266">
        <f>tblBD_PatronMasa1315[[#This Row],[Masa nominal mN                              (g)]]+(tblBD_PatronMasa1315[[#This Row],[Error certificado calibración δmc                  (mg)]])/1000</f>
        <v>2.0000000359999999</v>
      </c>
      <c r="O105" s="206">
        <v>4.0000000000000003E-5</v>
      </c>
      <c r="P105" s="221">
        <f>tblBD_PatronMasa1315[[#This Row],[mpe]]/3</f>
        <v>4.0000000000000003E-5</v>
      </c>
      <c r="Q105" s="207">
        <f>tblBD_PatronMasa1315[[#This Row],[Deriva D D&lt;=mpe/3]]/SQRT(3)</f>
        <v>2.3094010767585035E-5</v>
      </c>
      <c r="R105" s="208"/>
      <c r="S105" s="209">
        <v>1.2E-4</v>
      </c>
      <c r="T105" s="210">
        <v>45124</v>
      </c>
      <c r="U105" s="208" t="s">
        <v>1419</v>
      </c>
      <c r="V105" s="202" t="s">
        <v>38</v>
      </c>
      <c r="W105" s="202">
        <v>7950</v>
      </c>
      <c r="X105" s="202">
        <v>70</v>
      </c>
      <c r="Y10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212"/>
      <c r="AF105" s="2">
        <f t="shared" si="10"/>
        <v>100000</v>
      </c>
      <c r="AG105" s="1">
        <f t="shared" si="11"/>
        <v>0</v>
      </c>
      <c r="AH105" s="1">
        <f t="shared" si="12"/>
        <v>0</v>
      </c>
      <c r="AI105" s="1">
        <f t="shared" si="13"/>
        <v>0</v>
      </c>
      <c r="AJ105" s="1">
        <f t="shared" si="14"/>
        <v>0</v>
      </c>
      <c r="AK105" s="1">
        <f t="shared" si="15"/>
        <v>0</v>
      </c>
      <c r="AL105" s="1">
        <f t="shared" si="16"/>
        <v>0</v>
      </c>
      <c r="AM105" s="5"/>
      <c r="AQ105" s="2">
        <v>100</v>
      </c>
      <c r="AR105" s="3">
        <v>0.05</v>
      </c>
      <c r="AS105" s="3">
        <v>0.16</v>
      </c>
      <c r="AT105" s="3">
        <v>0.5</v>
      </c>
      <c r="AU105" s="4">
        <v>1.6</v>
      </c>
      <c r="AV105" s="2">
        <v>5</v>
      </c>
      <c r="AW105" s="5">
        <v>16</v>
      </c>
      <c r="AX105" s="5">
        <v>50</v>
      </c>
    </row>
    <row r="106" spans="1:50" x14ac:dyDescent="0.25">
      <c r="A106" s="173" t="s">
        <v>103</v>
      </c>
      <c r="H106" s="202">
        <v>12</v>
      </c>
      <c r="I106" s="204" t="s">
        <v>49</v>
      </c>
      <c r="J106" s="202" t="s">
        <v>25</v>
      </c>
      <c r="K106" s="203" t="s">
        <v>31</v>
      </c>
      <c r="L106" s="214">
        <v>5</v>
      </c>
      <c r="M106" s="206">
        <v>-7.7999999999999999E-5</v>
      </c>
      <c r="N106" s="266">
        <f>tblBD_PatronMasa1315[[#This Row],[Masa nominal mN                              (g)]]+(tblBD_PatronMasa1315[[#This Row],[Error certificado calibración δmc                  (mg)]])/1000</f>
        <v>4.9999999219999998</v>
      </c>
      <c r="O106" s="206">
        <v>8.2999999999999998E-5</v>
      </c>
      <c r="P106" s="221">
        <f>tblBD_PatronMasa1315[[#This Row],[mpe]]/3</f>
        <v>1.6666666666666666E-4</v>
      </c>
      <c r="Q106" s="207">
        <f>tblBD_PatronMasa1315[[#This Row],[Deriva D D&lt;=mpe/3]]/SQRT(3)</f>
        <v>9.6225044864937633E-5</v>
      </c>
      <c r="R106" s="208"/>
      <c r="S106" s="209">
        <v>5.0000000000000001E-4</v>
      </c>
      <c r="T106" s="210">
        <v>45328</v>
      </c>
      <c r="U106" s="208" t="s">
        <v>1427</v>
      </c>
      <c r="V106" s="202" t="s">
        <v>38</v>
      </c>
      <c r="W106" s="202">
        <v>7950</v>
      </c>
      <c r="X106" s="202">
        <v>70</v>
      </c>
      <c r="Y10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212"/>
      <c r="AF106" s="2">
        <f t="shared" si="10"/>
        <v>50000</v>
      </c>
      <c r="AG106" s="1">
        <f t="shared" si="11"/>
        <v>0</v>
      </c>
      <c r="AH106" s="1">
        <f t="shared" si="12"/>
        <v>0</v>
      </c>
      <c r="AI106" s="1">
        <f t="shared" si="13"/>
        <v>0</v>
      </c>
      <c r="AJ106" s="1">
        <f t="shared" si="14"/>
        <v>0</v>
      </c>
      <c r="AK106" s="1">
        <f t="shared" si="15"/>
        <v>0</v>
      </c>
      <c r="AL106" s="1">
        <f t="shared" si="16"/>
        <v>0</v>
      </c>
      <c r="AM106" s="5"/>
      <c r="AQ106" s="2">
        <v>50</v>
      </c>
      <c r="AR106" s="3">
        <v>0.03</v>
      </c>
      <c r="AS106" s="3">
        <v>0.1</v>
      </c>
      <c r="AT106" s="3">
        <v>0.3</v>
      </c>
      <c r="AU106" s="4">
        <v>1</v>
      </c>
      <c r="AV106" s="2">
        <v>3</v>
      </c>
      <c r="AW106" s="5">
        <v>10</v>
      </c>
      <c r="AX106" s="5">
        <v>30</v>
      </c>
    </row>
    <row r="107" spans="1:50" x14ac:dyDescent="0.25">
      <c r="H107" s="202">
        <v>13</v>
      </c>
      <c r="I107" s="204" t="s">
        <v>50</v>
      </c>
      <c r="J107" s="202" t="s">
        <v>27</v>
      </c>
      <c r="K107" s="203" t="s">
        <v>26</v>
      </c>
      <c r="L107" s="214">
        <v>5</v>
      </c>
      <c r="M107" s="206">
        <v>8.6000000000000003E-5</v>
      </c>
      <c r="N107" s="266">
        <f>tblBD_PatronMasa1315[[#This Row],[Masa nominal mN                              (g)]]+(tblBD_PatronMasa1315[[#This Row],[Error certificado calibración δmc                  (mg)]])/1000</f>
        <v>5.000000086</v>
      </c>
      <c r="O107" s="206">
        <v>5.3000000000000001E-5</v>
      </c>
      <c r="P107" s="221">
        <f>tblBD_PatronMasa1315[[#This Row],[mpe]]/3</f>
        <v>5.333333333333334E-5</v>
      </c>
      <c r="Q107" s="207">
        <f>tblBD_PatronMasa1315[[#This Row],[Deriva D D&lt;=mpe/3]]/SQRT(3)</f>
        <v>3.0792014356780046E-5</v>
      </c>
      <c r="R107" s="208"/>
      <c r="S107" s="209">
        <v>1.6000000000000001E-4</v>
      </c>
      <c r="T107" s="210">
        <v>45124</v>
      </c>
      <c r="U107" s="208" t="s">
        <v>1419</v>
      </c>
      <c r="V107" s="202" t="s">
        <v>38</v>
      </c>
      <c r="W107" s="202">
        <v>7950</v>
      </c>
      <c r="X107" s="202">
        <v>70</v>
      </c>
      <c r="Y10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212"/>
      <c r="AF107" s="2">
        <f t="shared" si="10"/>
        <v>20000</v>
      </c>
      <c r="AG107" s="1">
        <f t="shared" si="11"/>
        <v>0</v>
      </c>
      <c r="AH107" s="1">
        <f t="shared" si="12"/>
        <v>0</v>
      </c>
      <c r="AI107" s="1">
        <f t="shared" si="13"/>
        <v>0</v>
      </c>
      <c r="AJ107" s="1">
        <f t="shared" si="14"/>
        <v>0</v>
      </c>
      <c r="AK107" s="1">
        <f t="shared" si="15"/>
        <v>0</v>
      </c>
      <c r="AL107" s="1">
        <f t="shared" si="16"/>
        <v>0</v>
      </c>
      <c r="AM107" s="5"/>
      <c r="AQ107" s="2">
        <v>20</v>
      </c>
      <c r="AR107" s="1">
        <v>2.5000000000000001E-2</v>
      </c>
      <c r="AS107" s="3">
        <v>0.08</v>
      </c>
      <c r="AT107" s="3">
        <v>0.25</v>
      </c>
      <c r="AU107" s="4">
        <v>0.8</v>
      </c>
      <c r="AV107" s="2">
        <v>2.5</v>
      </c>
      <c r="AW107" s="5">
        <v>8</v>
      </c>
      <c r="AX107" s="5">
        <v>25</v>
      </c>
    </row>
    <row r="108" spans="1:50" x14ac:dyDescent="0.25">
      <c r="A108" s="173" t="s">
        <v>97</v>
      </c>
      <c r="D108" s="215"/>
      <c r="H108" s="202">
        <v>14</v>
      </c>
      <c r="I108" s="204" t="s">
        <v>51</v>
      </c>
      <c r="J108" s="202" t="s">
        <v>25</v>
      </c>
      <c r="K108" s="203" t="s">
        <v>31</v>
      </c>
      <c r="L108" s="214">
        <v>10</v>
      </c>
      <c r="M108" s="206">
        <v>-2.03E-4</v>
      </c>
      <c r="N108" s="266">
        <f>tblBD_PatronMasa1315[[#This Row],[Masa nominal mN                              (g)]]+(tblBD_PatronMasa1315[[#This Row],[Error certificado calibración δmc                  (mg)]])/1000</f>
        <v>9.9999997969999992</v>
      </c>
      <c r="O108" s="206">
        <v>9.2E-5</v>
      </c>
      <c r="P108" s="221">
        <f>tblBD_PatronMasa1315[[#This Row],[mpe]]/3</f>
        <v>1.9999999999999998E-4</v>
      </c>
      <c r="Q108" s="207">
        <f>tblBD_PatronMasa1315[[#This Row],[Deriva D D&lt;=mpe/3]]/SQRT(3)</f>
        <v>1.1547005383792514E-4</v>
      </c>
      <c r="R108" s="208"/>
      <c r="S108" s="209">
        <v>5.9999999999999995E-4</v>
      </c>
      <c r="T108" s="210">
        <v>45328</v>
      </c>
      <c r="U108" s="208" t="s">
        <v>1427</v>
      </c>
      <c r="V108" s="202" t="s">
        <v>38</v>
      </c>
      <c r="W108" s="202">
        <v>7950</v>
      </c>
      <c r="X108" s="202">
        <v>70</v>
      </c>
      <c r="Y10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212"/>
      <c r="AF108" s="2">
        <f t="shared" si="10"/>
        <v>10000</v>
      </c>
      <c r="AG108" s="1">
        <f t="shared" si="11"/>
        <v>0</v>
      </c>
      <c r="AH108" s="1">
        <f t="shared" si="12"/>
        <v>0</v>
      </c>
      <c r="AI108" s="1">
        <f t="shared" si="13"/>
        <v>0</v>
      </c>
      <c r="AJ108" s="1">
        <f t="shared" si="14"/>
        <v>0</v>
      </c>
      <c r="AK108" s="1">
        <f t="shared" si="15"/>
        <v>0</v>
      </c>
      <c r="AL108" s="1">
        <f t="shared" si="16"/>
        <v>0</v>
      </c>
      <c r="AM108" s="5"/>
      <c r="AQ108" s="2">
        <v>10</v>
      </c>
      <c r="AR108" s="1">
        <v>0.02</v>
      </c>
      <c r="AS108" s="3">
        <v>0.06</v>
      </c>
      <c r="AT108" s="3">
        <v>0.2</v>
      </c>
      <c r="AU108" s="4">
        <v>0.6</v>
      </c>
      <c r="AV108" s="2">
        <v>2</v>
      </c>
      <c r="AW108" s="5">
        <v>6</v>
      </c>
      <c r="AX108" s="5">
        <v>20</v>
      </c>
    </row>
    <row r="109" spans="1:50" x14ac:dyDescent="0.25">
      <c r="A109" s="173" t="s">
        <v>94</v>
      </c>
      <c r="H109" s="202">
        <v>15</v>
      </c>
      <c r="I109" s="204" t="s">
        <v>52</v>
      </c>
      <c r="J109" s="202" t="s">
        <v>27</v>
      </c>
      <c r="K109" s="203" t="s">
        <v>26</v>
      </c>
      <c r="L109" s="214">
        <v>10</v>
      </c>
      <c r="M109" s="206">
        <v>-9.9999999999999995E-7</v>
      </c>
      <c r="N109" s="266">
        <f>tblBD_PatronMasa1315[[#This Row],[Masa nominal mN                              (g)]]+(tblBD_PatronMasa1315[[#This Row],[Error certificado calibración δmc                  (mg)]])/1000</f>
        <v>9.9999999989999999</v>
      </c>
      <c r="O109" s="206">
        <v>6.7000000000000002E-5</v>
      </c>
      <c r="P109" s="221">
        <f>tblBD_PatronMasa1315[[#This Row],[mpe]]/3</f>
        <v>6.666666666666667E-5</v>
      </c>
      <c r="Q109" s="207">
        <f>tblBD_PatronMasa1315[[#This Row],[Deriva D D&lt;=mpe/3]]/SQRT(3)</f>
        <v>3.8490017945975054E-5</v>
      </c>
      <c r="R109" s="208"/>
      <c r="S109" s="209">
        <v>2.0000000000000001E-4</v>
      </c>
      <c r="T109" s="210">
        <v>45124</v>
      </c>
      <c r="U109" s="208" t="s">
        <v>1419</v>
      </c>
      <c r="V109" s="202" t="s">
        <v>38</v>
      </c>
      <c r="W109" s="202">
        <v>7950</v>
      </c>
      <c r="X109" s="202">
        <v>70</v>
      </c>
      <c r="Y10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212"/>
      <c r="AF109" s="2">
        <f t="shared" si="10"/>
        <v>5000</v>
      </c>
      <c r="AG109" s="1">
        <f t="shared" si="11"/>
        <v>0</v>
      </c>
      <c r="AH109" s="1">
        <f t="shared" si="12"/>
        <v>0</v>
      </c>
      <c r="AI109" s="1">
        <f t="shared" si="13"/>
        <v>0</v>
      </c>
      <c r="AJ109" s="1">
        <f t="shared" si="14"/>
        <v>0</v>
      </c>
      <c r="AK109" s="1">
        <f t="shared" si="15"/>
        <v>0</v>
      </c>
      <c r="AL109" s="1">
        <f t="shared" si="16"/>
        <v>0</v>
      </c>
      <c r="AM109" s="5"/>
      <c r="AQ109" s="2">
        <v>5</v>
      </c>
      <c r="AR109" s="1">
        <v>1.6E-2</v>
      </c>
      <c r="AS109" s="3">
        <v>0.05</v>
      </c>
      <c r="AT109" s="3">
        <v>0.16</v>
      </c>
      <c r="AU109" s="4">
        <v>0.5</v>
      </c>
      <c r="AV109" s="4">
        <v>1.6</v>
      </c>
      <c r="AW109" s="5">
        <v>5</v>
      </c>
      <c r="AX109" s="5">
        <v>16</v>
      </c>
    </row>
    <row r="110" spans="1:50" x14ac:dyDescent="0.25">
      <c r="A110" s="173" t="s">
        <v>112</v>
      </c>
      <c r="H110" s="202">
        <v>16</v>
      </c>
      <c r="I110" s="204" t="s">
        <v>53</v>
      </c>
      <c r="J110" s="202" t="s">
        <v>25</v>
      </c>
      <c r="K110" s="203" t="s">
        <v>31</v>
      </c>
      <c r="L110" s="214">
        <v>20</v>
      </c>
      <c r="M110" s="206">
        <v>-3.4600000000000001E-4</v>
      </c>
      <c r="N110" s="266">
        <f>tblBD_PatronMasa1315[[#This Row],[Masa nominal mN                              (g)]]+(tblBD_PatronMasa1315[[#This Row],[Error certificado calibración δmc                  (mg)]])/1000</f>
        <v>19.999999654</v>
      </c>
      <c r="O110" s="206">
        <v>8.8999999999999995E-5</v>
      </c>
      <c r="P110" s="221">
        <f>tblBD_PatronMasa1315[[#This Row],[mpe]]/3</f>
        <v>2.6666666666666668E-4</v>
      </c>
      <c r="Q110" s="207">
        <f>tblBD_PatronMasa1315[[#This Row],[Deriva D D&lt;=mpe/3]]/SQRT(3)</f>
        <v>1.5396007178390022E-4</v>
      </c>
      <c r="R110" s="208"/>
      <c r="S110" s="209">
        <v>8.0000000000000004E-4</v>
      </c>
      <c r="T110" s="210">
        <v>45328</v>
      </c>
      <c r="U110" s="208" t="s">
        <v>1427</v>
      </c>
      <c r="V110" s="202" t="s">
        <v>38</v>
      </c>
      <c r="W110" s="202">
        <v>7950</v>
      </c>
      <c r="X110" s="202">
        <v>70</v>
      </c>
      <c r="Y11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212"/>
      <c r="AF110" s="2">
        <f t="shared" si="10"/>
        <v>2000</v>
      </c>
      <c r="AG110" s="1">
        <f t="shared" si="11"/>
        <v>0</v>
      </c>
      <c r="AH110" s="1">
        <f t="shared" si="12"/>
        <v>0</v>
      </c>
      <c r="AI110" s="1">
        <f t="shared" si="13"/>
        <v>0</v>
      </c>
      <c r="AJ110" s="1">
        <f t="shared" si="14"/>
        <v>0</v>
      </c>
      <c r="AK110" s="1">
        <f t="shared" si="15"/>
        <v>0</v>
      </c>
      <c r="AL110" s="1">
        <f t="shared" si="16"/>
        <v>0</v>
      </c>
      <c r="AM110" s="5"/>
      <c r="AQ110" s="2">
        <v>2</v>
      </c>
      <c r="AR110" s="1">
        <v>1.2E-2</v>
      </c>
      <c r="AS110" s="3">
        <v>0.04</v>
      </c>
      <c r="AT110" s="3">
        <v>0.12</v>
      </c>
      <c r="AU110" s="4">
        <v>0.4</v>
      </c>
      <c r="AV110" s="4">
        <v>1.2</v>
      </c>
      <c r="AW110" s="5">
        <v>4</v>
      </c>
      <c r="AX110" s="5">
        <v>12</v>
      </c>
    </row>
    <row r="111" spans="1:50" x14ac:dyDescent="0.25">
      <c r="A111" s="173" t="s">
        <v>98</v>
      </c>
      <c r="H111" s="202">
        <v>17</v>
      </c>
      <c r="I111" s="204" t="s">
        <v>87</v>
      </c>
      <c r="J111" s="202" t="s">
        <v>25</v>
      </c>
      <c r="K111" s="203" t="s">
        <v>31</v>
      </c>
      <c r="L111" s="214">
        <v>20</v>
      </c>
      <c r="M111" s="206">
        <v>-3.4600000000000001E-4</v>
      </c>
      <c r="N111" s="266">
        <f>tblBD_PatronMasa1315[[#This Row],[Masa nominal mN                              (g)]]+(tblBD_PatronMasa1315[[#This Row],[Error certificado calibración δmc                  (mg)]])/1000</f>
        <v>19.999999654</v>
      </c>
      <c r="O111" s="206">
        <v>8.8999999999999995E-5</v>
      </c>
      <c r="P111" s="221">
        <f>tblBD_PatronMasa1315[[#This Row],[mpe]]/3</f>
        <v>2.6666666666666668E-4</v>
      </c>
      <c r="Q111" s="207">
        <f>tblBD_PatronMasa1315[[#This Row],[Deriva D D&lt;=mpe/3]]/SQRT(3)</f>
        <v>1.5396007178390022E-4</v>
      </c>
      <c r="R111" s="208"/>
      <c r="S111" s="209">
        <v>8.0000000000000004E-4</v>
      </c>
      <c r="T111" s="210">
        <v>45328</v>
      </c>
      <c r="U111" s="208" t="s">
        <v>1427</v>
      </c>
      <c r="V111" s="202" t="s">
        <v>38</v>
      </c>
      <c r="W111" s="202">
        <v>7950</v>
      </c>
      <c r="X111" s="202">
        <v>70</v>
      </c>
      <c r="Y11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212"/>
      <c r="AF111" s="2">
        <f t="shared" si="10"/>
        <v>1000</v>
      </c>
      <c r="AG111" s="1">
        <f t="shared" si="11"/>
        <v>0</v>
      </c>
      <c r="AH111" s="1">
        <f t="shared" si="12"/>
        <v>0</v>
      </c>
      <c r="AI111" s="1">
        <f t="shared" si="13"/>
        <v>0</v>
      </c>
      <c r="AJ111" s="1">
        <f t="shared" si="14"/>
        <v>0</v>
      </c>
      <c r="AK111" s="1">
        <f t="shared" si="15"/>
        <v>0</v>
      </c>
      <c r="AL111" s="1">
        <f t="shared" si="16"/>
        <v>0</v>
      </c>
      <c r="AM111" s="5"/>
      <c r="AQ111" s="2">
        <v>1</v>
      </c>
      <c r="AR111" s="1">
        <v>0.01</v>
      </c>
      <c r="AS111" s="3">
        <v>0.03</v>
      </c>
      <c r="AT111" s="3">
        <v>0.1</v>
      </c>
      <c r="AU111" s="4">
        <v>0.3</v>
      </c>
      <c r="AV111" s="4">
        <v>1</v>
      </c>
      <c r="AW111" s="5">
        <v>3</v>
      </c>
      <c r="AX111" s="5">
        <v>10</v>
      </c>
    </row>
    <row r="112" spans="1:50" x14ac:dyDescent="0.25">
      <c r="A112" s="173" t="s">
        <v>99</v>
      </c>
      <c r="H112" s="202">
        <v>18</v>
      </c>
      <c r="I112" s="204" t="s">
        <v>54</v>
      </c>
      <c r="J112" s="202" t="s">
        <v>27</v>
      </c>
      <c r="K112" s="203" t="s">
        <v>26</v>
      </c>
      <c r="L112" s="214">
        <v>20</v>
      </c>
      <c r="M112" s="206">
        <v>6.3999999999999997E-5</v>
      </c>
      <c r="N112" s="266">
        <f>tblBD_PatronMasa1315[[#This Row],[Masa nominal mN                              (g)]]+(tblBD_PatronMasa1315[[#This Row],[Error certificado calibración δmc                  (mg)]])/1000</f>
        <v>20.000000064000002</v>
      </c>
      <c r="O112" s="206">
        <v>8.2999999999999998E-5</v>
      </c>
      <c r="P112" s="221">
        <f>tblBD_PatronMasa1315[[#This Row],[mpe]]/3</f>
        <v>8.3333333333333331E-5</v>
      </c>
      <c r="Q112" s="207">
        <f>tblBD_PatronMasa1315[[#This Row],[Deriva D D&lt;=mpe/3]]/SQRT(3)</f>
        <v>4.8112522432468816E-5</v>
      </c>
      <c r="R112" s="208"/>
      <c r="S112" s="209">
        <v>2.5000000000000001E-4</v>
      </c>
      <c r="T112" s="210">
        <v>45124</v>
      </c>
      <c r="U112" s="208" t="s">
        <v>1419</v>
      </c>
      <c r="V112" s="202" t="s">
        <v>38</v>
      </c>
      <c r="W112" s="202">
        <v>7950</v>
      </c>
      <c r="X112" s="202">
        <v>70</v>
      </c>
      <c r="Y11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212"/>
      <c r="AF112" s="2">
        <f t="shared" si="10"/>
        <v>500</v>
      </c>
      <c r="AG112" s="1">
        <f t="shared" si="11"/>
        <v>0</v>
      </c>
      <c r="AH112" s="1">
        <f t="shared" si="12"/>
        <v>0</v>
      </c>
      <c r="AI112" s="1">
        <f t="shared" si="13"/>
        <v>0</v>
      </c>
      <c r="AJ112" s="1">
        <f t="shared" si="14"/>
        <v>0</v>
      </c>
      <c r="AK112" s="1">
        <f t="shared" si="15"/>
        <v>0</v>
      </c>
      <c r="AL112" s="1">
        <f t="shared" si="16"/>
        <v>0</v>
      </c>
      <c r="AM112" s="7"/>
      <c r="AQ112" s="4">
        <v>0.5</v>
      </c>
      <c r="AR112" s="1">
        <v>8.0000000000000002E-3</v>
      </c>
      <c r="AS112" s="1">
        <v>2.5000000000000001E-2</v>
      </c>
      <c r="AT112" s="3">
        <v>0.08</v>
      </c>
      <c r="AU112" s="3">
        <v>0.25</v>
      </c>
      <c r="AV112" s="4">
        <v>0.8</v>
      </c>
      <c r="AW112" s="6">
        <v>2.5</v>
      </c>
      <c r="AX112" s="7"/>
    </row>
    <row r="113" spans="1:50" x14ac:dyDescent="0.25">
      <c r="H113" s="202">
        <v>19</v>
      </c>
      <c r="I113" s="204" t="s">
        <v>55</v>
      </c>
      <c r="J113" s="202" t="s">
        <v>27</v>
      </c>
      <c r="K113" s="203" t="s">
        <v>26</v>
      </c>
      <c r="L113" s="214">
        <v>20</v>
      </c>
      <c r="M113" s="206">
        <v>1.27E-4</v>
      </c>
      <c r="N113" s="266">
        <f>tblBD_PatronMasa1315[[#This Row],[Masa nominal mN                              (g)]]+(tblBD_PatronMasa1315[[#This Row],[Error certificado calibración δmc                  (mg)]])/1000</f>
        <v>20.000000127</v>
      </c>
      <c r="O113" s="206">
        <v>8.2999999999999998E-5</v>
      </c>
      <c r="P113" s="221">
        <f>tblBD_PatronMasa1315[[#This Row],[mpe]]/3</f>
        <v>8.3333333333333331E-5</v>
      </c>
      <c r="Q113" s="207">
        <f>tblBD_PatronMasa1315[[#This Row],[Deriva D D&lt;=mpe/3]]/SQRT(3)</f>
        <v>4.8112522432468816E-5</v>
      </c>
      <c r="R113" s="208"/>
      <c r="S113" s="209">
        <v>2.5000000000000001E-4</v>
      </c>
      <c r="T113" s="210">
        <v>45124</v>
      </c>
      <c r="U113" s="208" t="s">
        <v>1419</v>
      </c>
      <c r="V113" s="202" t="s">
        <v>38</v>
      </c>
      <c r="W113" s="202">
        <v>7950</v>
      </c>
      <c r="X113" s="202">
        <v>70</v>
      </c>
      <c r="Y11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212"/>
      <c r="AF113" s="2">
        <f t="shared" si="10"/>
        <v>200</v>
      </c>
      <c r="AG113" s="1">
        <f t="shared" si="11"/>
        <v>0</v>
      </c>
      <c r="AH113" s="1">
        <f t="shared" si="12"/>
        <v>0</v>
      </c>
      <c r="AI113" s="1">
        <f t="shared" si="13"/>
        <v>0</v>
      </c>
      <c r="AJ113" s="1">
        <f t="shared" si="14"/>
        <v>0</v>
      </c>
      <c r="AK113" s="1">
        <f t="shared" si="15"/>
        <v>0</v>
      </c>
      <c r="AL113" s="1">
        <f t="shared" si="16"/>
        <v>0</v>
      </c>
      <c r="AM113" s="7"/>
      <c r="AQ113" s="4">
        <v>0.2</v>
      </c>
      <c r="AR113" s="1">
        <v>6.0000000000000001E-3</v>
      </c>
      <c r="AS113" s="1">
        <v>0.02</v>
      </c>
      <c r="AT113" s="3">
        <v>0.06</v>
      </c>
      <c r="AU113" s="3">
        <v>0.2</v>
      </c>
      <c r="AV113" s="4">
        <v>0.6</v>
      </c>
      <c r="AW113" s="6">
        <v>2</v>
      </c>
      <c r="AX113" s="7"/>
    </row>
    <row r="114" spans="1:50" x14ac:dyDescent="0.25">
      <c r="A114" s="173" t="s">
        <v>95</v>
      </c>
      <c r="H114" s="202">
        <v>20</v>
      </c>
      <c r="I114" s="204" t="s">
        <v>56</v>
      </c>
      <c r="J114" s="202" t="s">
        <v>25</v>
      </c>
      <c r="K114" s="203" t="s">
        <v>26</v>
      </c>
      <c r="L114" s="214">
        <v>50</v>
      </c>
      <c r="M114" s="206">
        <v>-2.0000000000000002E-5</v>
      </c>
      <c r="N114" s="266">
        <f>tblBD_PatronMasa1315[[#This Row],[Masa nominal mN                              (g)]]+(tblBD_PatronMasa1315[[#This Row],[Error certificado calibración δmc                  (mg)]])/1000</f>
        <v>49.999999979999998</v>
      </c>
      <c r="O114" s="206">
        <v>1.4999999999999999E-4</v>
      </c>
      <c r="P114" s="221">
        <f>tblBD_PatronMasa1315[[#This Row],[mpe]]/3</f>
        <v>9.9999999999999991E-5</v>
      </c>
      <c r="Q114" s="207">
        <f>tblBD_PatronMasa1315[[#This Row],[Deriva D D&lt;=mpe/3]]/SQRT(3)</f>
        <v>5.7735026918962572E-5</v>
      </c>
      <c r="R114" s="208"/>
      <c r="S114" s="209">
        <v>2.9999999999999997E-4</v>
      </c>
      <c r="T114" s="210">
        <v>45328</v>
      </c>
      <c r="U114" s="208" t="s">
        <v>1427</v>
      </c>
      <c r="V114" s="202" t="s">
        <v>38</v>
      </c>
      <c r="W114" s="202">
        <v>7950</v>
      </c>
      <c r="X114" s="202">
        <v>70</v>
      </c>
      <c r="Y11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212"/>
      <c r="AF114" s="2">
        <f t="shared" si="10"/>
        <v>100</v>
      </c>
      <c r="AG114" s="1">
        <f t="shared" si="11"/>
        <v>0</v>
      </c>
      <c r="AH114" s="1">
        <f t="shared" si="12"/>
        <v>0</v>
      </c>
      <c r="AI114" s="1">
        <f t="shared" si="13"/>
        <v>0</v>
      </c>
      <c r="AJ114" s="1">
        <f t="shared" si="14"/>
        <v>0</v>
      </c>
      <c r="AK114" s="1">
        <f t="shared" si="15"/>
        <v>0</v>
      </c>
      <c r="AL114" s="1">
        <f t="shared" si="16"/>
        <v>0</v>
      </c>
      <c r="AM114" s="7"/>
      <c r="AQ114" s="4">
        <v>0.1</v>
      </c>
      <c r="AR114" s="1">
        <v>5.0000000000000001E-3</v>
      </c>
      <c r="AS114" s="1">
        <v>1.6E-2</v>
      </c>
      <c r="AT114" s="3">
        <v>0.05</v>
      </c>
      <c r="AU114" s="3">
        <v>0.16</v>
      </c>
      <c r="AV114" s="4">
        <v>0.5</v>
      </c>
      <c r="AW114" s="6">
        <v>1.6</v>
      </c>
      <c r="AX114" s="7"/>
    </row>
    <row r="115" spans="1:50" x14ac:dyDescent="0.25">
      <c r="A115" s="173" t="s">
        <v>96</v>
      </c>
      <c r="H115" s="202">
        <v>21</v>
      </c>
      <c r="I115" s="204" t="s">
        <v>57</v>
      </c>
      <c r="J115" s="202" t="s">
        <v>27</v>
      </c>
      <c r="K115" s="203" t="s">
        <v>26</v>
      </c>
      <c r="L115" s="214">
        <v>50</v>
      </c>
      <c r="M115" s="206">
        <v>2.1800000000000001E-4</v>
      </c>
      <c r="N115" s="266">
        <f>tblBD_PatronMasa1315[[#This Row],[Masa nominal mN                              (g)]]+(tblBD_PatronMasa1315[[#This Row],[Error certificado calibración δmc                  (mg)]])/1000</f>
        <v>50.000000217999997</v>
      </c>
      <c r="O115" s="206">
        <v>6.0999999999999999E-5</v>
      </c>
      <c r="P115" s="221">
        <f>tblBD_PatronMasa1315[[#This Row],[mpe]]/3</f>
        <v>9.9999999999999991E-5</v>
      </c>
      <c r="Q115" s="207">
        <f>tblBD_PatronMasa1315[[#This Row],[Deriva D D&lt;=mpe/3]]/SQRT(3)</f>
        <v>5.7735026918962572E-5</v>
      </c>
      <c r="R115" s="208"/>
      <c r="S115" s="209">
        <v>2.9999999999999997E-4</v>
      </c>
      <c r="T115" s="210">
        <v>45124</v>
      </c>
      <c r="U115" s="208" t="s">
        <v>1419</v>
      </c>
      <c r="V115" s="202" t="s">
        <v>38</v>
      </c>
      <c r="W115" s="202">
        <v>7950</v>
      </c>
      <c r="X115" s="202">
        <v>70</v>
      </c>
      <c r="Y11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212"/>
      <c r="AF115" s="2">
        <f t="shared" si="10"/>
        <v>50</v>
      </c>
      <c r="AG115" s="1">
        <f t="shared" si="11"/>
        <v>0</v>
      </c>
      <c r="AH115" s="1">
        <f t="shared" si="12"/>
        <v>0</v>
      </c>
      <c r="AI115" s="1">
        <f t="shared" si="13"/>
        <v>0</v>
      </c>
      <c r="AJ115" s="1">
        <f t="shared" si="14"/>
        <v>0</v>
      </c>
      <c r="AK115" s="1">
        <f t="shared" si="15"/>
        <v>0</v>
      </c>
      <c r="AL115" s="1">
        <f t="shared" si="16"/>
        <v>0</v>
      </c>
      <c r="AM115" s="7"/>
      <c r="AQ115" s="3">
        <v>0.05</v>
      </c>
      <c r="AR115" s="1">
        <v>4.0000000000000001E-3</v>
      </c>
      <c r="AS115" s="1">
        <v>1.2E-2</v>
      </c>
      <c r="AT115" s="3">
        <v>0.04</v>
      </c>
      <c r="AU115" s="3">
        <v>0.12</v>
      </c>
      <c r="AV115" s="4">
        <v>0.4</v>
      </c>
      <c r="AW115" s="7"/>
      <c r="AX115" s="7"/>
    </row>
    <row r="116" spans="1:50" x14ac:dyDescent="0.25">
      <c r="A116" s="173" t="s">
        <v>100</v>
      </c>
      <c r="H116" s="202">
        <v>22</v>
      </c>
      <c r="I116" s="204" t="s">
        <v>58</v>
      </c>
      <c r="J116" s="202" t="s">
        <v>27</v>
      </c>
      <c r="K116" s="203" t="s">
        <v>26</v>
      </c>
      <c r="L116" s="214">
        <v>100</v>
      </c>
      <c r="M116" s="206">
        <v>4.1E-5</v>
      </c>
      <c r="N116" s="266">
        <f>tblBD_PatronMasa1315[[#This Row],[Masa nominal mN                              (g)]]+(tblBD_PatronMasa1315[[#This Row],[Error certificado calibración δmc                  (mg)]])/1000</f>
        <v>100.00000004100001</v>
      </c>
      <c r="O116" s="206">
        <v>1.2E-4</v>
      </c>
      <c r="P116" s="221">
        <f>tblBD_PatronMasa1315[[#This Row],[mpe]]/3</f>
        <v>1.6666666666666666E-4</v>
      </c>
      <c r="Q116" s="207">
        <f>tblBD_PatronMasa1315[[#This Row],[Deriva D D&lt;=mpe/3]]/SQRT(3)</f>
        <v>9.6225044864937633E-5</v>
      </c>
      <c r="R116" s="208"/>
      <c r="S116" s="209">
        <v>5.0000000000000001E-4</v>
      </c>
      <c r="T116" s="210">
        <v>45124</v>
      </c>
      <c r="U116" s="208" t="s">
        <v>1419</v>
      </c>
      <c r="V116" s="202" t="s">
        <v>38</v>
      </c>
      <c r="W116" s="202">
        <v>7950</v>
      </c>
      <c r="X116" s="202">
        <v>70</v>
      </c>
      <c r="Y11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212"/>
      <c r="AF116" s="2">
        <f t="shared" si="10"/>
        <v>20</v>
      </c>
      <c r="AG116" s="1">
        <f t="shared" si="11"/>
        <v>0</v>
      </c>
      <c r="AH116" s="1">
        <f t="shared" si="12"/>
        <v>0</v>
      </c>
      <c r="AI116" s="1">
        <f t="shared" si="13"/>
        <v>0</v>
      </c>
      <c r="AJ116" s="1">
        <f t="shared" si="14"/>
        <v>0</v>
      </c>
      <c r="AK116" s="1">
        <f t="shared" si="15"/>
        <v>0</v>
      </c>
      <c r="AL116" s="1">
        <f t="shared" si="16"/>
        <v>0</v>
      </c>
      <c r="AM116" s="7"/>
      <c r="AQ116" s="3">
        <v>0.02</v>
      </c>
      <c r="AR116" s="1">
        <v>3.0000000000000001E-3</v>
      </c>
      <c r="AS116" s="1">
        <v>0.01</v>
      </c>
      <c r="AT116" s="3">
        <v>0.03</v>
      </c>
      <c r="AU116" s="3">
        <v>0.1</v>
      </c>
      <c r="AV116" s="4">
        <v>0.3</v>
      </c>
      <c r="AW116" s="7"/>
      <c r="AX116" s="7"/>
    </row>
    <row r="117" spans="1:50" x14ac:dyDescent="0.25">
      <c r="A117" s="173" t="s">
        <v>101</v>
      </c>
      <c r="H117" s="202">
        <v>23</v>
      </c>
      <c r="I117" s="204" t="s">
        <v>59</v>
      </c>
      <c r="J117" s="202" t="s">
        <v>25</v>
      </c>
      <c r="K117" s="203" t="s">
        <v>26</v>
      </c>
      <c r="L117" s="214">
        <v>200</v>
      </c>
      <c r="M117" s="206">
        <v>-1.7000000000000001E-4</v>
      </c>
      <c r="N117" s="266">
        <f>tblBD_PatronMasa1315[[#This Row],[Masa nominal mN                              (g)]]+(tblBD_PatronMasa1315[[#This Row],[Error certificado calibración δmc                  (mg)]])/1000</f>
        <v>199.99999983000001</v>
      </c>
      <c r="O117" s="206">
        <v>5.4000000000000001E-4</v>
      </c>
      <c r="P117" s="221">
        <f>tblBD_PatronMasa1315[[#This Row],[mpe]]/3</f>
        <v>3.3333333333333332E-4</v>
      </c>
      <c r="Q117" s="207">
        <f>tblBD_PatronMasa1315[[#This Row],[Deriva D D&lt;=mpe/3]]/SQRT(3)</f>
        <v>1.9245008972987527E-4</v>
      </c>
      <c r="R117" s="208"/>
      <c r="S117" s="209">
        <v>1E-3</v>
      </c>
      <c r="T117" s="210">
        <v>45328</v>
      </c>
      <c r="U117" s="208" t="s">
        <v>1427</v>
      </c>
      <c r="V117" s="202" t="s">
        <v>38</v>
      </c>
      <c r="W117" s="202">
        <v>7950</v>
      </c>
      <c r="X117" s="202">
        <v>70</v>
      </c>
      <c r="Y11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212"/>
      <c r="AF117" s="2">
        <f t="shared" si="10"/>
        <v>10</v>
      </c>
      <c r="AG117" s="1">
        <f t="shared" si="11"/>
        <v>0</v>
      </c>
      <c r="AH117" s="1">
        <f t="shared" si="12"/>
        <v>0</v>
      </c>
      <c r="AI117" s="1">
        <f t="shared" si="13"/>
        <v>0</v>
      </c>
      <c r="AJ117" s="1">
        <f t="shared" si="14"/>
        <v>0</v>
      </c>
      <c r="AK117" s="1">
        <f t="shared" si="15"/>
        <v>0</v>
      </c>
      <c r="AL117" s="1">
        <f t="shared" si="16"/>
        <v>0</v>
      </c>
      <c r="AM117" s="7"/>
      <c r="AQ117" s="3">
        <v>0.01</v>
      </c>
      <c r="AR117" s="1">
        <v>3.0000000000000001E-3</v>
      </c>
      <c r="AS117" s="1">
        <v>8.0000000000000002E-3</v>
      </c>
      <c r="AT117" s="1">
        <v>2.5000000000000001E-2</v>
      </c>
      <c r="AU117" s="3">
        <v>0.08</v>
      </c>
      <c r="AV117" s="3">
        <v>0.25</v>
      </c>
      <c r="AW117" s="7"/>
      <c r="AX117" s="7"/>
    </row>
    <row r="118" spans="1:50" x14ac:dyDescent="0.25">
      <c r="H118" s="202">
        <v>24</v>
      </c>
      <c r="I118" s="204" t="s">
        <v>88</v>
      </c>
      <c r="J118" s="202" t="s">
        <v>25</v>
      </c>
      <c r="K118" s="203" t="s">
        <v>26</v>
      </c>
      <c r="L118" s="214">
        <v>200</v>
      </c>
      <c r="M118" s="206">
        <v>-1.7000000000000001E-4</v>
      </c>
      <c r="N118" s="266">
        <f>tblBD_PatronMasa1315[[#This Row],[Masa nominal mN                              (g)]]+(tblBD_PatronMasa1315[[#This Row],[Error certificado calibración δmc                  (mg)]])/1000</f>
        <v>199.99999983000001</v>
      </c>
      <c r="O118" s="206">
        <v>5.4000000000000001E-4</v>
      </c>
      <c r="P118" s="221">
        <f>tblBD_PatronMasa1315[[#This Row],[mpe]]/3</f>
        <v>3.3333333333333332E-4</v>
      </c>
      <c r="Q118" s="207">
        <f>tblBD_PatronMasa1315[[#This Row],[Deriva D D&lt;=mpe/3]]/SQRT(3)</f>
        <v>1.9245008972987527E-4</v>
      </c>
      <c r="R118" s="208"/>
      <c r="S118" s="209">
        <v>1E-3</v>
      </c>
      <c r="T118" s="210">
        <v>45328</v>
      </c>
      <c r="U118" s="208" t="s">
        <v>1427</v>
      </c>
      <c r="V118" s="202" t="s">
        <v>38</v>
      </c>
      <c r="W118" s="202">
        <v>7950</v>
      </c>
      <c r="X118" s="202">
        <v>70</v>
      </c>
      <c r="Y11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213"/>
      <c r="AF118" s="2">
        <f t="shared" si="10"/>
        <v>5</v>
      </c>
      <c r="AG118" s="1">
        <f t="shared" si="11"/>
        <v>0</v>
      </c>
      <c r="AH118" s="1">
        <f t="shared" si="12"/>
        <v>0</v>
      </c>
      <c r="AI118" s="1">
        <f t="shared" si="13"/>
        <v>0</v>
      </c>
      <c r="AJ118" s="1">
        <f t="shared" si="14"/>
        <v>0</v>
      </c>
      <c r="AK118" s="1">
        <f t="shared" si="15"/>
        <v>0</v>
      </c>
      <c r="AL118" s="1">
        <f t="shared" si="16"/>
        <v>0</v>
      </c>
      <c r="AM118" s="7"/>
      <c r="AQ118" s="1">
        <v>5.0000000000000001E-3</v>
      </c>
      <c r="AR118" s="1">
        <v>3.0000000000000001E-3</v>
      </c>
      <c r="AS118" s="1">
        <v>6.0000000000000001E-3</v>
      </c>
      <c r="AT118" s="1">
        <v>0.02</v>
      </c>
      <c r="AU118" s="3">
        <v>0.06</v>
      </c>
      <c r="AV118" s="3">
        <v>0.2</v>
      </c>
      <c r="AW118" s="7"/>
      <c r="AX118" s="7"/>
    </row>
    <row r="119" spans="1:50" x14ac:dyDescent="0.25">
      <c r="H119" s="202">
        <v>25</v>
      </c>
      <c r="I119" s="204" t="s">
        <v>60</v>
      </c>
      <c r="J119" s="202" t="s">
        <v>27</v>
      </c>
      <c r="K119" s="203" t="s">
        <v>26</v>
      </c>
      <c r="L119" s="214">
        <v>200</v>
      </c>
      <c r="M119" s="206">
        <v>1.0000000000000001E-5</v>
      </c>
      <c r="N119" s="266">
        <f>tblBD_PatronMasa1315[[#This Row],[Masa nominal mN                              (g)]]+(tblBD_PatronMasa1315[[#This Row],[Error certificado calibración δmc                  (mg)]])/1000</f>
        <v>200.00000001000001</v>
      </c>
      <c r="O119" s="206">
        <v>2.4000000000000001E-4</v>
      </c>
      <c r="P119" s="221">
        <f>tblBD_PatronMasa1315[[#This Row],[mpe]]/3</f>
        <v>3.3333333333333332E-4</v>
      </c>
      <c r="Q119" s="207">
        <f>tblBD_PatronMasa1315[[#This Row],[Deriva D D&lt;=mpe/3]]/SQRT(3)</f>
        <v>1.9245008972987527E-4</v>
      </c>
      <c r="R119" s="208"/>
      <c r="S119" s="209">
        <v>1E-3</v>
      </c>
      <c r="T119" s="210">
        <v>45124</v>
      </c>
      <c r="U119" s="208" t="s">
        <v>1419</v>
      </c>
      <c r="V119" s="202" t="s">
        <v>38</v>
      </c>
      <c r="W119" s="202">
        <v>7950</v>
      </c>
      <c r="X119" s="202">
        <v>70</v>
      </c>
      <c r="Y11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212"/>
      <c r="AF119" s="2">
        <f t="shared" si="10"/>
        <v>2</v>
      </c>
      <c r="AG119" s="1">
        <f t="shared" si="11"/>
        <v>0</v>
      </c>
      <c r="AH119" s="1">
        <f t="shared" si="12"/>
        <v>0</v>
      </c>
      <c r="AI119" s="1">
        <f t="shared" si="13"/>
        <v>0</v>
      </c>
      <c r="AJ119" s="1">
        <f t="shared" si="14"/>
        <v>0</v>
      </c>
      <c r="AK119" s="1">
        <f t="shared" si="15"/>
        <v>0</v>
      </c>
      <c r="AL119" s="1">
        <f t="shared" si="16"/>
        <v>0</v>
      </c>
      <c r="AM119" s="7"/>
      <c r="AQ119" s="1">
        <v>2E-3</v>
      </c>
      <c r="AR119" s="1">
        <v>3.0000000000000001E-3</v>
      </c>
      <c r="AS119" s="1">
        <v>6.0000000000000001E-3</v>
      </c>
      <c r="AT119" s="1">
        <v>0.02</v>
      </c>
      <c r="AU119" s="3">
        <v>0.06</v>
      </c>
      <c r="AV119" s="3">
        <v>0.2</v>
      </c>
      <c r="AW119" s="7"/>
      <c r="AX119" s="7"/>
    </row>
    <row r="120" spans="1:50" x14ac:dyDescent="0.25">
      <c r="H120" s="202">
        <v>26</v>
      </c>
      <c r="I120" s="204" t="s">
        <v>61</v>
      </c>
      <c r="J120" s="202" t="s">
        <v>27</v>
      </c>
      <c r="K120" s="203" t="s">
        <v>26</v>
      </c>
      <c r="L120" s="214">
        <v>200</v>
      </c>
      <c r="M120" s="206">
        <v>-2.0000000000000002E-5</v>
      </c>
      <c r="N120" s="266">
        <f>tblBD_PatronMasa1315[[#This Row],[Masa nominal mN                              (g)]]+(tblBD_PatronMasa1315[[#This Row],[Error certificado calibración δmc                  (mg)]])/1000</f>
        <v>199.99999998000001</v>
      </c>
      <c r="O120" s="206">
        <v>2.4000000000000001E-4</v>
      </c>
      <c r="P120" s="221">
        <f>tblBD_PatronMasa1315[[#This Row],[mpe]]/3</f>
        <v>3.3333333333333332E-4</v>
      </c>
      <c r="Q120" s="207">
        <f>tblBD_PatronMasa1315[[#This Row],[Deriva D D&lt;=mpe/3]]/SQRT(3)</f>
        <v>1.9245008972987527E-4</v>
      </c>
      <c r="R120" s="208"/>
      <c r="S120" s="209">
        <v>1E-3</v>
      </c>
      <c r="T120" s="210">
        <v>45124</v>
      </c>
      <c r="U120" s="208" t="s">
        <v>1419</v>
      </c>
      <c r="V120" s="202" t="s">
        <v>38</v>
      </c>
      <c r="W120" s="202">
        <v>7950</v>
      </c>
      <c r="X120" s="202">
        <v>70</v>
      </c>
      <c r="Y12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212"/>
      <c r="AF120" s="2">
        <f t="shared" si="10"/>
        <v>1</v>
      </c>
      <c r="AG120" s="1">
        <f t="shared" si="11"/>
        <v>0</v>
      </c>
      <c r="AH120" s="1">
        <f t="shared" si="12"/>
        <v>0</v>
      </c>
      <c r="AI120" s="1">
        <f t="shared" si="13"/>
        <v>0</v>
      </c>
      <c r="AJ120" s="1">
        <f t="shared" si="14"/>
        <v>0</v>
      </c>
      <c r="AK120" s="1">
        <f t="shared" si="15"/>
        <v>0</v>
      </c>
      <c r="AL120" s="1">
        <f t="shared" si="16"/>
        <v>0</v>
      </c>
      <c r="AM120" s="7"/>
      <c r="AQ120" s="1">
        <v>1E-3</v>
      </c>
      <c r="AR120" s="1">
        <v>3.0000000000000001E-3</v>
      </c>
      <c r="AS120" s="1">
        <v>6.0000000000000001E-3</v>
      </c>
      <c r="AT120" s="1">
        <v>0.02</v>
      </c>
      <c r="AU120" s="3">
        <v>0.06</v>
      </c>
      <c r="AV120" s="3">
        <v>0.2</v>
      </c>
      <c r="AW120" s="7"/>
      <c r="AX120" s="7"/>
    </row>
    <row r="121" spans="1:50" x14ac:dyDescent="0.25">
      <c r="A121" s="173" t="s">
        <v>3</v>
      </c>
      <c r="H121" s="202">
        <v>27</v>
      </c>
      <c r="I121" s="204" t="s">
        <v>62</v>
      </c>
      <c r="J121" s="202" t="s">
        <v>25</v>
      </c>
      <c r="K121" s="203" t="s">
        <v>26</v>
      </c>
      <c r="L121" s="214">
        <v>500</v>
      </c>
      <c r="M121" s="206">
        <v>2.9999999999999997E-4</v>
      </c>
      <c r="N121" s="266">
        <f>tblBD_PatronMasa1315[[#This Row],[Masa nominal mN                              (g)]]+(tblBD_PatronMasa1315[[#This Row],[Error certificado calibración δmc                  (mg)]])/1000</f>
        <v>500.00000030000001</v>
      </c>
      <c r="O121" s="206">
        <v>8.0999999999999996E-4</v>
      </c>
      <c r="P121" s="221">
        <f>tblBD_PatronMasa1315[[#This Row],[mpe]]/3</f>
        <v>8.3333333333333339E-4</v>
      </c>
      <c r="Q121" s="207">
        <f>tblBD_PatronMasa1315[[#This Row],[Deriva D D&lt;=mpe/3]]/SQRT(3)</f>
        <v>4.8112522432468822E-4</v>
      </c>
      <c r="R121" s="208"/>
      <c r="S121" s="209">
        <v>2.5000000000000001E-3</v>
      </c>
      <c r="T121" s="210">
        <v>45328</v>
      </c>
      <c r="U121" s="208" t="s">
        <v>1427</v>
      </c>
      <c r="V121" s="202" t="s">
        <v>38</v>
      </c>
      <c r="W121" s="202">
        <v>7950</v>
      </c>
      <c r="X121" s="202">
        <v>70</v>
      </c>
      <c r="Y12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212"/>
    </row>
    <row r="122" spans="1:50" x14ac:dyDescent="0.25">
      <c r="A122" s="173" t="s">
        <v>4</v>
      </c>
      <c r="H122" s="202">
        <v>28</v>
      </c>
      <c r="I122" s="204" t="s">
        <v>63</v>
      </c>
      <c r="J122" s="202" t="s">
        <v>27</v>
      </c>
      <c r="K122" s="203" t="s">
        <v>26</v>
      </c>
      <c r="L122" s="214">
        <v>500</v>
      </c>
      <c r="M122" s="206">
        <v>7.5000000000000002E-4</v>
      </c>
      <c r="N122" s="266">
        <f>tblBD_PatronMasa1315[[#This Row],[Masa nominal mN                              (g)]]+(tblBD_PatronMasa1315[[#This Row],[Error certificado calibración δmc                  (mg)]])/1000</f>
        <v>500.00000075000003</v>
      </c>
      <c r="O122" s="206">
        <v>5.9000000000000003E-4</v>
      </c>
      <c r="P122" s="221">
        <f>tblBD_PatronMasa1315[[#This Row],[mpe]]/3</f>
        <v>8.3333333333333339E-4</v>
      </c>
      <c r="Q122" s="207">
        <f>tblBD_PatronMasa1315[[#This Row],[Deriva D D&lt;=mpe/3]]/SQRT(3)</f>
        <v>4.8112522432468822E-4</v>
      </c>
      <c r="R122" s="208"/>
      <c r="S122" s="209">
        <v>2.5000000000000001E-3</v>
      </c>
      <c r="T122" s="210">
        <v>45124</v>
      </c>
      <c r="U122" s="208" t="s">
        <v>1419</v>
      </c>
      <c r="V122" s="202" t="s">
        <v>38</v>
      </c>
      <c r="W122" s="202">
        <v>7950</v>
      </c>
      <c r="X122" s="202">
        <v>70</v>
      </c>
      <c r="Y12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212"/>
    </row>
    <row r="123" spans="1:50" x14ac:dyDescent="0.25">
      <c r="A123" s="173" t="s">
        <v>5</v>
      </c>
      <c r="H123" s="202">
        <v>29</v>
      </c>
      <c r="I123" s="204" t="s">
        <v>64</v>
      </c>
      <c r="J123" s="202" t="s">
        <v>81</v>
      </c>
      <c r="K123" s="203" t="s">
        <v>31</v>
      </c>
      <c r="L123" s="214">
        <v>1000</v>
      </c>
      <c r="M123" s="206">
        <v>8.9999999999999998E-4</v>
      </c>
      <c r="N123" s="266">
        <f>tblBD_PatronMasa1315[[#This Row],[Masa nominal mN                              (g)]]+(tblBD_PatronMasa1315[[#This Row],[Error certificado calibración δmc                  (mg)]])/1000</f>
        <v>1000.0000009</v>
      </c>
      <c r="O123" s="206">
        <v>8.2000000000000007E-3</v>
      </c>
      <c r="P123" s="221">
        <f>tblBD_PatronMasa1315[[#This Row],[mpe]]/3</f>
        <v>5.3333333333333332E-3</v>
      </c>
      <c r="Q123" s="207">
        <f>tblBD_PatronMasa1315[[#This Row],[Deriva D D&lt;=mpe/3]]/SQRT(3)</f>
        <v>3.0792014356780043E-3</v>
      </c>
      <c r="R123" s="208"/>
      <c r="S123" s="209">
        <v>1.6E-2</v>
      </c>
      <c r="T123" s="210">
        <v>45047</v>
      </c>
      <c r="U123" s="208" t="s">
        <v>1423</v>
      </c>
      <c r="V123" s="202" t="s">
        <v>38</v>
      </c>
      <c r="W123" s="202">
        <v>7950</v>
      </c>
      <c r="X123" s="202">
        <v>70</v>
      </c>
      <c r="Y12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212"/>
      <c r="AG123" s="216" t="s">
        <v>34</v>
      </c>
      <c r="AH123" s="216" t="s">
        <v>26</v>
      </c>
      <c r="AI123" s="216" t="s">
        <v>31</v>
      </c>
      <c r="AJ123" s="216" t="s">
        <v>29</v>
      </c>
      <c r="AK123" s="216" t="s">
        <v>30</v>
      </c>
      <c r="AL123" s="216" t="s">
        <v>35</v>
      </c>
      <c r="AO123" s="216" t="s">
        <v>34</v>
      </c>
      <c r="AP123" s="216" t="s">
        <v>26</v>
      </c>
      <c r="AQ123" s="216" t="s">
        <v>31</v>
      </c>
      <c r="AR123" s="216" t="s">
        <v>29</v>
      </c>
      <c r="AS123" s="216" t="s">
        <v>30</v>
      </c>
      <c r="AT123" s="216" t="s">
        <v>35</v>
      </c>
    </row>
    <row r="124" spans="1:50" x14ac:dyDescent="0.25">
      <c r="H124" s="202">
        <v>30</v>
      </c>
      <c r="I124" s="204" t="s">
        <v>65</v>
      </c>
      <c r="J124" s="202" t="s">
        <v>25</v>
      </c>
      <c r="K124" s="203" t="s">
        <v>31</v>
      </c>
      <c r="L124" s="214">
        <v>1000</v>
      </c>
      <c r="M124" s="206">
        <v>8.9999999999999998E-4</v>
      </c>
      <c r="N124" s="266">
        <f>tblBD_PatronMasa1315[[#This Row],[Masa nominal mN                              (g)]]+(tblBD_PatronMasa1315[[#This Row],[Error certificado calibración δmc                  (mg)]])/1000</f>
        <v>1000.0000009</v>
      </c>
      <c r="O124" s="206">
        <v>8.2000000000000007E-3</v>
      </c>
      <c r="P124" s="221">
        <f>tblBD_PatronMasa1315[[#This Row],[mpe]]/3</f>
        <v>5.3333333333333332E-3</v>
      </c>
      <c r="Q124" s="207">
        <f>tblBD_PatronMasa1315[[#This Row],[Deriva D D&lt;=mpe/3]]/SQRT(3)</f>
        <v>3.0792014356780043E-3</v>
      </c>
      <c r="R124" s="208"/>
      <c r="S124" s="209">
        <v>1.6E-2</v>
      </c>
      <c r="T124" s="210">
        <v>45328</v>
      </c>
      <c r="U124" s="208" t="s">
        <v>1427</v>
      </c>
      <c r="V124" s="202" t="s">
        <v>38</v>
      </c>
      <c r="W124" s="202">
        <v>7950</v>
      </c>
      <c r="X124" s="202">
        <v>70</v>
      </c>
      <c r="Y12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212"/>
      <c r="AG124" s="217" t="e">
        <f t="shared" ref="AG124:AL124" si="17">($AF$90-(AG97-$C$64))</f>
        <v>#DIV/0!</v>
      </c>
      <c r="AH124" s="217" t="e">
        <f t="shared" si="17"/>
        <v>#DIV/0!</v>
      </c>
      <c r="AI124" s="217" t="e">
        <f t="shared" si="17"/>
        <v>#DIV/0!</v>
      </c>
      <c r="AJ124" s="217" t="e">
        <f t="shared" si="17"/>
        <v>#DIV/0!</v>
      </c>
      <c r="AK124" s="217" t="e">
        <f t="shared" si="17"/>
        <v>#DIV/0!</v>
      </c>
      <c r="AL124" s="217" t="e">
        <f t="shared" si="17"/>
        <v>#DIV/0!</v>
      </c>
      <c r="AO124" s="216">
        <f>AG97/3</f>
        <v>0</v>
      </c>
      <c r="AP124" s="216">
        <f t="shared" ref="AP124:AT124" si="18">AH97/3</f>
        <v>0</v>
      </c>
      <c r="AQ124" s="216">
        <f t="shared" si="18"/>
        <v>0</v>
      </c>
      <c r="AR124" s="216">
        <f t="shared" si="18"/>
        <v>0</v>
      </c>
      <c r="AS124" s="216">
        <f t="shared" si="18"/>
        <v>0</v>
      </c>
      <c r="AT124" s="216">
        <f t="shared" si="18"/>
        <v>0</v>
      </c>
    </row>
    <row r="125" spans="1:50" x14ac:dyDescent="0.25">
      <c r="A125" s="173" t="s">
        <v>86</v>
      </c>
      <c r="H125" s="202">
        <v>31</v>
      </c>
      <c r="I125" s="204" t="s">
        <v>66</v>
      </c>
      <c r="J125" s="202" t="s">
        <v>27</v>
      </c>
      <c r="K125" s="203" t="s">
        <v>26</v>
      </c>
      <c r="L125" s="214">
        <v>1000</v>
      </c>
      <c r="M125" s="206">
        <v>1.2999999999999999E-3</v>
      </c>
      <c r="N125" s="266">
        <f>tblBD_PatronMasa1315[[#This Row],[Masa nominal mN                              (g)]]+(tblBD_PatronMasa1315[[#This Row],[Error certificado calibración δmc                  (mg)]])/1000</f>
        <v>1000.0000013</v>
      </c>
      <c r="O125" s="206">
        <v>1.1999999999999999E-3</v>
      </c>
      <c r="P125" s="221">
        <f>tblBD_PatronMasa1315[[#This Row],[mpe]]/3</f>
        <v>1.6666666666666668E-3</v>
      </c>
      <c r="Q125" s="207">
        <f>tblBD_PatronMasa1315[[#This Row],[Deriva D D&lt;=mpe/3]]/SQRT(3)</f>
        <v>9.6225044864937644E-4</v>
      </c>
      <c r="R125" s="208"/>
      <c r="S125" s="209">
        <v>5.0000000000000001E-3</v>
      </c>
      <c r="T125" s="210">
        <v>45124</v>
      </c>
      <c r="U125" s="208" t="s">
        <v>1419</v>
      </c>
      <c r="V125" s="202" t="s">
        <v>38</v>
      </c>
      <c r="W125" s="202">
        <v>7950</v>
      </c>
      <c r="X125" s="202">
        <v>70</v>
      </c>
      <c r="Y12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212"/>
      <c r="AH125" s="216"/>
      <c r="AI125" s="216"/>
      <c r="AJ125" s="216"/>
      <c r="AK125" s="216"/>
      <c r="AL125" s="216"/>
    </row>
    <row r="126" spans="1:50" x14ac:dyDescent="0.25">
      <c r="A126" s="173" t="s">
        <v>92</v>
      </c>
      <c r="H126" s="202">
        <v>32</v>
      </c>
      <c r="I126" s="204" t="s">
        <v>67</v>
      </c>
      <c r="J126" s="202" t="s">
        <v>81</v>
      </c>
      <c r="K126" s="203" t="s">
        <v>31</v>
      </c>
      <c r="L126" s="214">
        <v>2000</v>
      </c>
      <c r="M126" s="206">
        <v>2.8E-3</v>
      </c>
      <c r="N126" s="266">
        <f>tblBD_PatronMasa1315[[#This Row],[Masa nominal mN                              (g)]]+(tblBD_PatronMasa1315[[#This Row],[Error certificado calibración δmc                  (mg)]])/1000</f>
        <v>2000.0000027999999</v>
      </c>
      <c r="O126" s="206">
        <v>8.3000000000000001E-3</v>
      </c>
      <c r="P126" s="221">
        <f>tblBD_PatronMasa1315[[#This Row],[mpe]]/3</f>
        <v>0.01</v>
      </c>
      <c r="Q126" s="207">
        <f>tblBD_PatronMasa1315[[#This Row],[Deriva D D&lt;=mpe/3]]/SQRT(3)</f>
        <v>5.773502691896258E-3</v>
      </c>
      <c r="R126" s="208"/>
      <c r="S126" s="209">
        <v>0.03</v>
      </c>
      <c r="T126" s="210">
        <v>45047</v>
      </c>
      <c r="U126" s="208" t="s">
        <v>1423</v>
      </c>
      <c r="V126" s="202" t="s">
        <v>38</v>
      </c>
      <c r="W126" s="202">
        <v>7950</v>
      </c>
      <c r="X126" s="202">
        <v>70</v>
      </c>
      <c r="Y12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212"/>
      <c r="AG126" s="216" t="s">
        <v>34</v>
      </c>
      <c r="AH126" s="216" t="s">
        <v>26</v>
      </c>
      <c r="AI126" s="216" t="s">
        <v>31</v>
      </c>
      <c r="AJ126" s="216" t="s">
        <v>29</v>
      </c>
      <c r="AK126" s="216" t="s">
        <v>30</v>
      </c>
      <c r="AL126" s="216" t="s">
        <v>35</v>
      </c>
    </row>
    <row r="127" spans="1:50" x14ac:dyDescent="0.25">
      <c r="A127" s="173" t="s">
        <v>93</v>
      </c>
      <c r="H127" s="202">
        <v>33</v>
      </c>
      <c r="I127" s="204" t="s">
        <v>68</v>
      </c>
      <c r="J127" s="202" t="s">
        <v>25</v>
      </c>
      <c r="K127" s="203" t="s">
        <v>31</v>
      </c>
      <c r="L127" s="214">
        <v>2000</v>
      </c>
      <c r="M127" s="206">
        <v>2.8E-3</v>
      </c>
      <c r="N127" s="266">
        <f>tblBD_PatronMasa1315[[#This Row],[Masa nominal mN                              (g)]]+(tblBD_PatronMasa1315[[#This Row],[Error certificado calibración δmc                  (mg)]])/1000</f>
        <v>2000.0000027999999</v>
      </c>
      <c r="O127" s="206">
        <v>8.3000000000000001E-3</v>
      </c>
      <c r="P127" s="221">
        <f>tblBD_PatronMasa1315[[#This Row],[mpe]]/3</f>
        <v>0.01</v>
      </c>
      <c r="Q127" s="207">
        <f>tblBD_PatronMasa1315[[#This Row],[Deriva D D&lt;=mpe/3]]/SQRT(3)</f>
        <v>5.773502691896258E-3</v>
      </c>
      <c r="R127" s="208"/>
      <c r="S127" s="209">
        <v>0.03</v>
      </c>
      <c r="T127" s="210">
        <v>45328</v>
      </c>
      <c r="U127" s="208" t="s">
        <v>1427</v>
      </c>
      <c r="V127" s="202" t="s">
        <v>38</v>
      </c>
      <c r="W127" s="202">
        <v>7950</v>
      </c>
      <c r="X127" s="202">
        <v>70</v>
      </c>
      <c r="Y12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212"/>
      <c r="AG127" s="218" t="e">
        <f t="shared" ref="AG127:AL127" si="19">($AF$90+(AG97-$C$64))</f>
        <v>#DIV/0!</v>
      </c>
      <c r="AH127" s="218" t="e">
        <f t="shared" si="19"/>
        <v>#DIV/0!</v>
      </c>
      <c r="AI127" s="218" t="e">
        <f t="shared" si="19"/>
        <v>#DIV/0!</v>
      </c>
      <c r="AJ127" s="218" t="e">
        <f t="shared" si="19"/>
        <v>#DIV/0!</v>
      </c>
      <c r="AK127" s="218" t="e">
        <f t="shared" si="19"/>
        <v>#DIV/0!</v>
      </c>
      <c r="AL127" s="218" t="e">
        <f t="shared" si="19"/>
        <v>#DIV/0!</v>
      </c>
    </row>
    <row r="128" spans="1:50" x14ac:dyDescent="0.25">
      <c r="H128" s="202">
        <v>34</v>
      </c>
      <c r="I128" s="204" t="s">
        <v>89</v>
      </c>
      <c r="J128" s="202" t="s">
        <v>25</v>
      </c>
      <c r="K128" s="203" t="s">
        <v>31</v>
      </c>
      <c r="L128" s="214">
        <v>2000</v>
      </c>
      <c r="M128" s="206">
        <v>2.8E-3</v>
      </c>
      <c r="N128" s="266">
        <f>tblBD_PatronMasa1315[[#This Row],[Masa nominal mN                              (g)]]+(tblBD_PatronMasa1315[[#This Row],[Error certificado calibración δmc                  (mg)]])/1000</f>
        <v>2000.0000027999999</v>
      </c>
      <c r="O128" s="206">
        <v>8.3000000000000001E-3</v>
      </c>
      <c r="P128" s="221">
        <f>tblBD_PatronMasa1315[[#This Row],[mpe]]/3</f>
        <v>0.01</v>
      </c>
      <c r="Q128" s="207">
        <f>tblBD_PatronMasa1315[[#This Row],[Deriva D D&lt;=mpe/3]]/SQRT(3)</f>
        <v>5.773502691896258E-3</v>
      </c>
      <c r="R128" s="208"/>
      <c r="S128" s="209">
        <v>0.03</v>
      </c>
      <c r="T128" s="210">
        <v>45328</v>
      </c>
      <c r="U128" s="208" t="s">
        <v>1427</v>
      </c>
      <c r="V128" s="202" t="s">
        <v>38</v>
      </c>
      <c r="W128" s="202">
        <v>7950</v>
      </c>
      <c r="X128" s="202">
        <v>70</v>
      </c>
      <c r="Y12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212"/>
    </row>
    <row r="129" spans="8:38" x14ac:dyDescent="0.25">
      <c r="H129" s="202">
        <v>35</v>
      </c>
      <c r="I129" s="204" t="s">
        <v>69</v>
      </c>
      <c r="J129" s="202" t="s">
        <v>27</v>
      </c>
      <c r="K129" s="203" t="s">
        <v>26</v>
      </c>
      <c r="L129" s="214">
        <v>2000</v>
      </c>
      <c r="M129" s="206">
        <v>1.6000000000000001E-3</v>
      </c>
      <c r="N129" s="266">
        <f>tblBD_PatronMasa1315[[#This Row],[Masa nominal mN                              (g)]]+(tblBD_PatronMasa1315[[#This Row],[Error certificado calibración δmc                  (mg)]])/1000</f>
        <v>2000.0000015999999</v>
      </c>
      <c r="O129" s="206">
        <v>2.7000000000000001E-3</v>
      </c>
      <c r="P129" s="221">
        <f>tblBD_PatronMasa1315[[#This Row],[mpe]]/3</f>
        <v>3.3333333333333335E-3</v>
      </c>
      <c r="Q129" s="207">
        <f>tblBD_PatronMasa1315[[#This Row],[Deriva D D&lt;=mpe/3]]/SQRT(3)</f>
        <v>1.9245008972987529E-3</v>
      </c>
      <c r="R129" s="208"/>
      <c r="S129" s="209">
        <v>0.01</v>
      </c>
      <c r="T129" s="210">
        <v>45124</v>
      </c>
      <c r="U129" s="208" t="s">
        <v>1419</v>
      </c>
      <c r="V129" s="202" t="s">
        <v>38</v>
      </c>
      <c r="W129" s="202">
        <v>7950</v>
      </c>
      <c r="X129" s="202">
        <v>70</v>
      </c>
      <c r="Y12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212"/>
      <c r="AG129" s="219" t="e">
        <f>IF($AG$124&lt;=($AF$90+($C$67)),IF($AG$127&gt;=($AF$90+($C$67)),IF($C$64&lt;=AO124,"E2",AH129),AH129),AH129)</f>
        <v>#DIV/0!</v>
      </c>
      <c r="AH129" s="219" t="e">
        <f>IF($AH$124&lt;=($AF$90+($C$67)),IF($AH$127&gt;=($AF$90+($C$67)),IF($C$64&lt;=AP124,"F1",AI129),AI129),AI129)</f>
        <v>#DIV/0!</v>
      </c>
      <c r="AI129" s="219" t="e">
        <f>IF($AI$124&lt;=($AF$90+($C$67)),IF($AI$127&gt;=($AF$90+($C$67)),IF($C$64&lt;=AQ124,"F2",AJ129),AJ129),AJ129)</f>
        <v>#DIV/0!</v>
      </c>
      <c r="AJ129" s="219" t="e">
        <f>IF($AJ$124&lt;=($AF$90+($C$67)),IF($AJ$127&gt;=($AF$90+($C$67)),IF($C$64&lt;=AR124,"M1",AK129),AK129),AK129)</f>
        <v>#DIV/0!</v>
      </c>
      <c r="AK129" s="219" t="e">
        <f>IF($AK$124&lt;=($AF$90+($C$67)),IF($AK$127&gt;=($AF$90+($C$67)),IF($C$64&lt;=AS124,"M2",AL129),AL129),AL129)</f>
        <v>#DIV/0!</v>
      </c>
      <c r="AL129" s="219" t="e">
        <f>IF($AL$124&lt;=($AF$90+($C$67)),IF($AL$127&gt;=($AF$90+($C$67)),IF($C$64&lt;=AT124,"M3",AM129),AM129),AM129)</f>
        <v>#DIV/0!</v>
      </c>
    </row>
    <row r="130" spans="8:38" x14ac:dyDescent="0.25">
      <c r="H130" s="202">
        <v>36</v>
      </c>
      <c r="I130" s="204" t="s">
        <v>70</v>
      </c>
      <c r="J130" s="202" t="s">
        <v>27</v>
      </c>
      <c r="K130" s="203" t="s">
        <v>26</v>
      </c>
      <c r="L130" s="214">
        <v>2000</v>
      </c>
      <c r="M130" s="206">
        <v>1.6999999999999999E-3</v>
      </c>
      <c r="N130" s="266">
        <f>tblBD_PatronMasa1315[[#This Row],[Masa nominal mN                              (g)]]+(tblBD_PatronMasa1315[[#This Row],[Error certificado calibración δmc                  (mg)]])/1000</f>
        <v>2000.0000017</v>
      </c>
      <c r="O130" s="206">
        <v>2.5999999999999999E-3</v>
      </c>
      <c r="P130" s="221">
        <f>tblBD_PatronMasa1315[[#This Row],[mpe]]/3</f>
        <v>3.3333333333333335E-3</v>
      </c>
      <c r="Q130" s="207">
        <f>tblBD_PatronMasa1315[[#This Row],[Deriva D D&lt;=mpe/3]]/SQRT(3)</f>
        <v>1.9245008972987529E-3</v>
      </c>
      <c r="R130" s="208"/>
      <c r="S130" s="209">
        <v>0.01</v>
      </c>
      <c r="T130" s="210">
        <v>45124</v>
      </c>
      <c r="U130" s="208" t="s">
        <v>1419</v>
      </c>
      <c r="V130" s="202" t="s">
        <v>38</v>
      </c>
      <c r="W130" s="202">
        <v>7950</v>
      </c>
      <c r="X130" s="202">
        <v>70</v>
      </c>
      <c r="Y13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212"/>
    </row>
    <row r="131" spans="8:38" x14ac:dyDescent="0.25">
      <c r="H131" s="202">
        <v>37</v>
      </c>
      <c r="I131" s="204" t="s">
        <v>71</v>
      </c>
      <c r="J131" s="202" t="s">
        <v>81</v>
      </c>
      <c r="K131" s="203" t="s">
        <v>29</v>
      </c>
      <c r="L131" s="214">
        <v>5000</v>
      </c>
      <c r="M131" s="206">
        <v>2E-3</v>
      </c>
      <c r="N131" s="266">
        <f>tblBD_PatronMasa1315[[#This Row],[Masa nominal mN                              (g)]]+(tblBD_PatronMasa1315[[#This Row],[Error certificado calibración δmc                  (mg)]])/1000</f>
        <v>5000.0000019999998</v>
      </c>
      <c r="O131" s="206">
        <v>8.2000000000000003E-2</v>
      </c>
      <c r="P131" s="221">
        <f>tblBD_PatronMasa1315[[#This Row],[mpe]]/3</f>
        <v>8.3333333333333329E-2</v>
      </c>
      <c r="Q131" s="207">
        <f>tblBD_PatronMasa1315[[#This Row],[Deriva D D&lt;=mpe/3]]/SQRT(3)</f>
        <v>4.8112522432468816E-2</v>
      </c>
      <c r="R131" s="208"/>
      <c r="S131" s="209">
        <v>0.25</v>
      </c>
      <c r="T131" s="210">
        <v>45047</v>
      </c>
      <c r="U131" s="208" t="s">
        <v>1423</v>
      </c>
      <c r="V131" s="202" t="s">
        <v>38</v>
      </c>
      <c r="W131" s="202">
        <v>7950</v>
      </c>
      <c r="X131" s="202">
        <v>70</v>
      </c>
      <c r="Y13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212"/>
    </row>
    <row r="132" spans="8:38" x14ac:dyDescent="0.25">
      <c r="H132" s="202">
        <v>38</v>
      </c>
      <c r="I132" s="204" t="s">
        <v>72</v>
      </c>
      <c r="J132" s="202" t="s">
        <v>25</v>
      </c>
      <c r="K132" s="203" t="s">
        <v>31</v>
      </c>
      <c r="L132" s="214">
        <v>5000</v>
      </c>
      <c r="M132" s="206">
        <v>0</v>
      </c>
      <c r="N132" s="266">
        <f>tblBD_PatronMasa1315[[#This Row],[Masa nominal mN                              (g)]]+(tblBD_PatronMasa1315[[#This Row],[Error certificado calibración δmc                  (mg)]])/1000</f>
        <v>5000</v>
      </c>
      <c r="O132" s="206">
        <v>8.2000000000000003E-2</v>
      </c>
      <c r="P132" s="221">
        <f>tblBD_PatronMasa1315[[#This Row],[mpe]]/3</f>
        <v>2.6666666666666668E-2</v>
      </c>
      <c r="Q132" s="207">
        <f>tblBD_PatronMasa1315[[#This Row],[Deriva D D&lt;=mpe/3]]/SQRT(3)</f>
        <v>1.5396007178390023E-2</v>
      </c>
      <c r="R132" s="208"/>
      <c r="S132" s="209">
        <v>0.08</v>
      </c>
      <c r="T132" s="210">
        <v>45328</v>
      </c>
      <c r="U132" s="208" t="s">
        <v>1427</v>
      </c>
      <c r="V132" s="202" t="s">
        <v>38</v>
      </c>
      <c r="W132" s="202">
        <v>7950</v>
      </c>
      <c r="X132" s="202">
        <v>70</v>
      </c>
      <c r="Y13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202">
        <v>39</v>
      </c>
      <c r="I133" s="204" t="s">
        <v>73</v>
      </c>
      <c r="J133" s="202" t="s">
        <v>27</v>
      </c>
      <c r="K133" s="203" t="s">
        <v>26</v>
      </c>
      <c r="L133" s="214">
        <v>5000</v>
      </c>
      <c r="M133" s="206">
        <v>1.1999999999999999E-3</v>
      </c>
      <c r="N133" s="266">
        <f>tblBD_PatronMasa1315[[#This Row],[Masa nominal mN                              (g)]]+(tblBD_PatronMasa1315[[#This Row],[Error certificado calibración δmc                  (mg)]])/1000</f>
        <v>5000.0000012</v>
      </c>
      <c r="O133" s="206">
        <v>6.1000000000000004E-3</v>
      </c>
      <c r="P133" s="221">
        <f>tblBD_PatronMasa1315[[#This Row],[mpe]]/3</f>
        <v>8.3333333333333332E-3</v>
      </c>
      <c r="Q133" s="207">
        <f>tblBD_PatronMasa1315[[#This Row],[Deriva D D&lt;=mpe/3]]/SQRT(3)</f>
        <v>4.8112522432468812E-3</v>
      </c>
      <c r="R133" s="208"/>
      <c r="S133" s="209">
        <v>2.5000000000000001E-2</v>
      </c>
      <c r="T133" s="210">
        <v>45124</v>
      </c>
      <c r="U133" s="208" t="s">
        <v>1419</v>
      </c>
      <c r="V133" s="202" t="s">
        <v>38</v>
      </c>
      <c r="W133" s="202">
        <v>7950</v>
      </c>
      <c r="X133" s="202">
        <v>70</v>
      </c>
      <c r="Y13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202">
        <v>40</v>
      </c>
      <c r="I134" s="204" t="s">
        <v>747</v>
      </c>
      <c r="J134" s="202" t="s">
        <v>28</v>
      </c>
      <c r="K134" s="203" t="s">
        <v>29</v>
      </c>
      <c r="L134" s="214">
        <v>10000</v>
      </c>
      <c r="M134" s="206">
        <v>-3.0000000000000001E-3</v>
      </c>
      <c r="N134" s="266">
        <f>tblBD_PatronMasa1315[[#This Row],[Masa nominal mN                              (g)]]+(tblBD_PatronMasa1315[[#This Row],[Error certificado calibración δmc                  (mg)]])/1000</f>
        <v>9999.9999970000008</v>
      </c>
      <c r="O134" s="206">
        <v>8.3000000000000004E-2</v>
      </c>
      <c r="P134" s="221">
        <f>tblBD_PatronMasa1315[[#This Row],[mpe]]/3</f>
        <v>0.16666666666666666</v>
      </c>
      <c r="Q134" s="207">
        <f>tblBD_PatronMasa1315[[#This Row],[Deriva D D&lt;=mpe/3]]/SQRT(3)</f>
        <v>9.6225044864937631E-2</v>
      </c>
      <c r="R134" s="208"/>
      <c r="S134" s="209">
        <v>0.5</v>
      </c>
      <c r="T134" s="210">
        <v>45047</v>
      </c>
      <c r="U134" s="208" t="s">
        <v>1423</v>
      </c>
      <c r="V134" s="202" t="s">
        <v>1420</v>
      </c>
      <c r="W134" s="202">
        <v>7800</v>
      </c>
      <c r="X134" s="202">
        <v>100</v>
      </c>
      <c r="Y13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202">
        <v>41</v>
      </c>
      <c r="I135" s="204" t="s">
        <v>74</v>
      </c>
      <c r="J135" s="202" t="s">
        <v>25</v>
      </c>
      <c r="K135" s="203" t="s">
        <v>26</v>
      </c>
      <c r="L135" s="214">
        <v>10000</v>
      </c>
      <c r="M135" s="206">
        <v>-8.9999999999999993E-3</v>
      </c>
      <c r="N135" s="266">
        <f>tblBD_PatronMasa1315[[#This Row],[Masa nominal mN                              (g)]]+(tblBD_PatronMasa1315[[#This Row],[Error certificado calibración δmc                  (mg)]])/1000</f>
        <v>9999.9999910000006</v>
      </c>
      <c r="O135" s="206">
        <v>1.4999999999999999E-2</v>
      </c>
      <c r="P135" s="221">
        <f>tblBD_PatronMasa1315[[#This Row],[mpe]]/3</f>
        <v>1.6666666666666666E-2</v>
      </c>
      <c r="Q135" s="207">
        <f>tblBD_PatronMasa1315[[#This Row],[Deriva D D&lt;=mpe/3]]/SQRT(3)</f>
        <v>9.6225044864937624E-3</v>
      </c>
      <c r="R135" s="208"/>
      <c r="S135" s="209">
        <v>0.05</v>
      </c>
      <c r="T135" s="210">
        <v>45128</v>
      </c>
      <c r="U135" s="208" t="s">
        <v>1421</v>
      </c>
      <c r="V135" s="202" t="s">
        <v>38</v>
      </c>
      <c r="W135" s="202">
        <v>7950</v>
      </c>
      <c r="X135" s="202">
        <v>70</v>
      </c>
      <c r="Y13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202">
        <v>42</v>
      </c>
      <c r="I136" s="204" t="s">
        <v>75</v>
      </c>
      <c r="J136" s="202" t="s">
        <v>28</v>
      </c>
      <c r="K136" s="203" t="s">
        <v>26</v>
      </c>
      <c r="L136" s="214">
        <v>20000</v>
      </c>
      <c r="M136" s="206">
        <v>-1.9E-2</v>
      </c>
      <c r="N136" s="266">
        <f>tblBD_PatronMasa1315[[#This Row],[Masa nominal mN                              (g)]]+(tblBD_PatronMasa1315[[#This Row],[Error certificado calibración δmc                  (mg)]])/1000</f>
        <v>19999.999981000001</v>
      </c>
      <c r="O136" s="206">
        <v>0.03</v>
      </c>
      <c r="P136" s="221">
        <f>tblBD_PatronMasa1315[[#This Row],[mpe]]/3</f>
        <v>3.3333333333333333E-2</v>
      </c>
      <c r="Q136" s="207">
        <f>tblBD_PatronMasa1315[[#This Row],[Deriva D D&lt;=mpe/3]]/SQRT(3)</f>
        <v>1.9245008972987525E-2</v>
      </c>
      <c r="R136" s="208"/>
      <c r="S136" s="209">
        <v>0.1</v>
      </c>
      <c r="T136" s="210">
        <v>45125</v>
      </c>
      <c r="U136" s="208" t="s">
        <v>1422</v>
      </c>
      <c r="V136" s="202" t="s">
        <v>38</v>
      </c>
      <c r="W136" s="202">
        <v>7950</v>
      </c>
      <c r="X136" s="202">
        <v>70</v>
      </c>
      <c r="Y13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202">
        <v>43</v>
      </c>
      <c r="I137" s="204" t="s">
        <v>1369</v>
      </c>
      <c r="J137" s="202" t="s">
        <v>28</v>
      </c>
      <c r="K137" s="203" t="s">
        <v>29</v>
      </c>
      <c r="L137" s="214">
        <v>20000</v>
      </c>
      <c r="M137" s="206">
        <v>-4.0000000000000001E-3</v>
      </c>
      <c r="N137" s="266">
        <f>tblBD_PatronMasa1315[[#This Row],[Masa nominal mN                              (g)]]+(tblBD_PatronMasa1315[[#This Row],[Error certificado calibración δmc                  (mg)]])/1000</f>
        <v>19999.999995999999</v>
      </c>
      <c r="O137" s="206">
        <v>8.7999999999999995E-2</v>
      </c>
      <c r="P137" s="221">
        <f>tblBD_PatronMasa1315[[#This Row],[mpe]]/3</f>
        <v>0.33333333333333331</v>
      </c>
      <c r="Q137" s="207">
        <f>tblBD_PatronMasa1315[[#This Row],[Deriva D D&lt;=mpe/3]]/SQRT(3)</f>
        <v>0.19245008972987526</v>
      </c>
      <c r="R137" s="208"/>
      <c r="S137" s="209">
        <v>1</v>
      </c>
      <c r="T137" s="210">
        <v>45047</v>
      </c>
      <c r="U137" s="208" t="s">
        <v>1423</v>
      </c>
      <c r="V137" s="202" t="s">
        <v>1420</v>
      </c>
      <c r="W137" s="202">
        <v>7800</v>
      </c>
      <c r="X137" s="202">
        <v>100</v>
      </c>
      <c r="Y13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202">
        <v>44</v>
      </c>
      <c r="I138" s="204" t="s">
        <v>1370</v>
      </c>
      <c r="J138" s="202" t="s">
        <v>28</v>
      </c>
      <c r="K138" s="203" t="s">
        <v>29</v>
      </c>
      <c r="L138" s="214">
        <v>20000</v>
      </c>
      <c r="M138" s="206">
        <v>-4.0000000000000001E-3</v>
      </c>
      <c r="N138" s="266">
        <f>tblBD_PatronMasa1315[[#This Row],[Masa nominal mN                              (g)]]+(tblBD_PatronMasa1315[[#This Row],[Error certificado calibración δmc                  (mg)]])/1000</f>
        <v>19999.999995999999</v>
      </c>
      <c r="O138" s="206">
        <v>8.7999999999999995E-2</v>
      </c>
      <c r="P138" s="221">
        <f>tblBD_PatronMasa1315[[#This Row],[mpe]]/3</f>
        <v>0.33333333333333331</v>
      </c>
      <c r="Q138" s="207">
        <f>tblBD_PatronMasa1315[[#This Row],[Deriva D D&lt;=mpe/3]]/SQRT(3)</f>
        <v>0.19245008972987526</v>
      </c>
      <c r="R138" s="208"/>
      <c r="S138" s="209">
        <v>1</v>
      </c>
      <c r="T138" s="210">
        <v>45047</v>
      </c>
      <c r="U138" s="208" t="s">
        <v>1423</v>
      </c>
      <c r="V138" s="202" t="s">
        <v>1420</v>
      </c>
      <c r="W138" s="202">
        <v>7800</v>
      </c>
      <c r="X138" s="202">
        <v>100</v>
      </c>
      <c r="Y13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202">
        <v>45</v>
      </c>
      <c r="I139" s="204" t="s">
        <v>1371</v>
      </c>
      <c r="J139" s="202" t="s">
        <v>28</v>
      </c>
      <c r="K139" s="203" t="s">
        <v>29</v>
      </c>
      <c r="L139" s="214">
        <v>20000</v>
      </c>
      <c r="M139" s="206">
        <v>9.6000000000000002E-2</v>
      </c>
      <c r="N139" s="266">
        <f>tblBD_PatronMasa1315[[#This Row],[Masa nominal mN                              (g)]]+(tblBD_PatronMasa1315[[#This Row],[Error certificado calibración δmc                  (mg)]])/1000</f>
        <v>20000.000096</v>
      </c>
      <c r="O139" s="206">
        <v>8.7999999999999995E-2</v>
      </c>
      <c r="P139" s="221">
        <f>tblBD_PatronMasa1315[[#This Row],[mpe]]/3</f>
        <v>0.33333333333333331</v>
      </c>
      <c r="Q139" s="207">
        <f>tblBD_PatronMasa1315[[#This Row],[Deriva D D&lt;=mpe/3]]/SQRT(3)</f>
        <v>0.19245008972987526</v>
      </c>
      <c r="R139" s="208"/>
      <c r="S139" s="209">
        <v>1</v>
      </c>
      <c r="T139" s="210">
        <v>45047</v>
      </c>
      <c r="U139" s="208" t="s">
        <v>1423</v>
      </c>
      <c r="V139" s="202" t="s">
        <v>1420</v>
      </c>
      <c r="W139" s="202">
        <v>7800</v>
      </c>
      <c r="X139" s="202">
        <v>100</v>
      </c>
      <c r="Y13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202">
        <v>46</v>
      </c>
      <c r="I140" s="204" t="s">
        <v>1372</v>
      </c>
      <c r="J140" s="202" t="s">
        <v>28</v>
      </c>
      <c r="K140" s="203" t="s">
        <v>29</v>
      </c>
      <c r="L140" s="214">
        <v>20000</v>
      </c>
      <c r="M140" s="206">
        <v>9.6000000000000002E-2</v>
      </c>
      <c r="N140" s="266">
        <f>tblBD_PatronMasa1315[[#This Row],[Masa nominal mN                              (g)]]+(tblBD_PatronMasa1315[[#This Row],[Error certificado calibración δmc                  (mg)]])/1000</f>
        <v>20000.000096</v>
      </c>
      <c r="O140" s="206">
        <v>8.7999999999999995E-2</v>
      </c>
      <c r="P140" s="221">
        <f>tblBD_PatronMasa1315[[#This Row],[mpe]]/3</f>
        <v>0.33333333333333331</v>
      </c>
      <c r="Q140" s="207">
        <f>tblBD_PatronMasa1315[[#This Row],[Deriva D D&lt;=mpe/3]]/SQRT(3)</f>
        <v>0.19245008972987526</v>
      </c>
      <c r="R140" s="208"/>
      <c r="S140" s="209">
        <v>1</v>
      </c>
      <c r="T140" s="210">
        <v>45047</v>
      </c>
      <c r="U140" s="208" t="s">
        <v>1423</v>
      </c>
      <c r="V140" s="202" t="s">
        <v>1420</v>
      </c>
      <c r="W140" s="202">
        <v>7800</v>
      </c>
      <c r="X140" s="202">
        <v>100</v>
      </c>
      <c r="Y14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202">
        <v>47</v>
      </c>
      <c r="I141" s="204" t="s">
        <v>1373</v>
      </c>
      <c r="J141" s="202" t="s">
        <v>28</v>
      </c>
      <c r="K141" s="203" t="s">
        <v>29</v>
      </c>
      <c r="L141" s="214">
        <v>20000</v>
      </c>
      <c r="M141" s="206">
        <v>-4.0000000000000001E-3</v>
      </c>
      <c r="N141" s="266">
        <f>tblBD_PatronMasa1315[[#This Row],[Masa nominal mN                              (g)]]+(tblBD_PatronMasa1315[[#This Row],[Error certificado calibración δmc                  (mg)]])/1000</f>
        <v>19999.999995999999</v>
      </c>
      <c r="O141" s="206">
        <v>8.7999999999999995E-2</v>
      </c>
      <c r="P141" s="221">
        <f>tblBD_PatronMasa1315[[#This Row],[mpe]]/3</f>
        <v>0.33333333333333331</v>
      </c>
      <c r="Q141" s="207">
        <f>tblBD_PatronMasa1315[[#This Row],[Deriva D D&lt;=mpe/3]]/SQRT(3)</f>
        <v>0.19245008972987526</v>
      </c>
      <c r="R141" s="208"/>
      <c r="S141" s="209">
        <v>1</v>
      </c>
      <c r="T141" s="210">
        <v>45047</v>
      </c>
      <c r="U141" s="208" t="s">
        <v>1423</v>
      </c>
      <c r="V141" s="202" t="s">
        <v>1420</v>
      </c>
      <c r="W141" s="202">
        <v>7800</v>
      </c>
      <c r="X141" s="202">
        <v>100</v>
      </c>
      <c r="Y14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202">
        <v>48</v>
      </c>
      <c r="I142" s="204" t="s">
        <v>1374</v>
      </c>
      <c r="J142" s="202" t="s">
        <v>28</v>
      </c>
      <c r="K142" s="203" t="s">
        <v>29</v>
      </c>
      <c r="L142" s="214">
        <v>20000</v>
      </c>
      <c r="M142" s="206">
        <v>-4.0000000000000001E-3</v>
      </c>
      <c r="N142" s="266">
        <f>tblBD_PatronMasa1315[[#This Row],[Masa nominal mN                              (g)]]+(tblBD_PatronMasa1315[[#This Row],[Error certificado calibración δmc                  (mg)]])/1000</f>
        <v>19999.999995999999</v>
      </c>
      <c r="O142" s="206">
        <v>8.7999999999999995E-2</v>
      </c>
      <c r="P142" s="221">
        <f>tblBD_PatronMasa1315[[#This Row],[mpe]]/3</f>
        <v>0.33333333333333331</v>
      </c>
      <c r="Q142" s="207">
        <f>tblBD_PatronMasa1315[[#This Row],[Deriva D D&lt;=mpe/3]]/SQRT(3)</f>
        <v>0.19245008972987526</v>
      </c>
      <c r="R142" s="208"/>
      <c r="S142" s="209">
        <v>1</v>
      </c>
      <c r="T142" s="210">
        <v>45047</v>
      </c>
      <c r="U142" s="208" t="s">
        <v>1423</v>
      </c>
      <c r="V142" s="202" t="s">
        <v>1420</v>
      </c>
      <c r="W142" s="202">
        <v>7800</v>
      </c>
      <c r="X142" s="202">
        <v>100</v>
      </c>
      <c r="Y14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202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202">
        <v>49</v>
      </c>
      <c r="I143" s="204" t="s">
        <v>1375</v>
      </c>
      <c r="J143" s="202" t="s">
        <v>28</v>
      </c>
      <c r="K143" s="203" t="s">
        <v>29</v>
      </c>
      <c r="L143" s="214">
        <v>20000</v>
      </c>
      <c r="M143" s="208">
        <v>-4.0000000000000001E-3</v>
      </c>
      <c r="N143" s="266">
        <f>tblBD_PatronMasa1315[[#This Row],[Masa nominal mN                              (g)]]+(tblBD_PatronMasa1315[[#This Row],[Error certificado calibración δmc                  (mg)]])/1000</f>
        <v>19999.999995999999</v>
      </c>
      <c r="O143" s="206">
        <v>8.7999999999999995E-2</v>
      </c>
      <c r="P143" s="221">
        <f>tblBD_PatronMasa1315[[#This Row],[mpe]]/3</f>
        <v>0.33333333333333331</v>
      </c>
      <c r="Q143" s="209">
        <f>tblBD_PatronMasa1315[[#This Row],[Deriva D D&lt;=mpe/3]]/SQRT(3)</f>
        <v>0.19245008972987526</v>
      </c>
      <c r="R143" s="208"/>
      <c r="S143" s="209">
        <v>1</v>
      </c>
      <c r="T143" s="210">
        <v>45047</v>
      </c>
      <c r="U143" s="208" t="s">
        <v>1423</v>
      </c>
      <c r="V143" s="202" t="s">
        <v>1420</v>
      </c>
      <c r="W143" s="202">
        <v>7800</v>
      </c>
      <c r="X143" s="202">
        <v>100</v>
      </c>
      <c r="Y14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202">
        <v>50</v>
      </c>
      <c r="I144" s="204" t="s">
        <v>1376</v>
      </c>
      <c r="J144" s="202" t="s">
        <v>28</v>
      </c>
      <c r="K144" s="203" t="s">
        <v>29</v>
      </c>
      <c r="L144" s="214">
        <v>20000</v>
      </c>
      <c r="M144" s="208">
        <v>-4.0000000000000001E-3</v>
      </c>
      <c r="N144" s="266">
        <f>tblBD_PatronMasa1315[[#This Row],[Masa nominal mN                              (g)]]+(tblBD_PatronMasa1315[[#This Row],[Error certificado calibración δmc                  (mg)]])/1000</f>
        <v>19999.999995999999</v>
      </c>
      <c r="O144" s="206">
        <v>8.7999999999999995E-2</v>
      </c>
      <c r="P144" s="221">
        <f>tblBD_PatronMasa1315[[#This Row],[mpe]]/3</f>
        <v>0.33333333333333331</v>
      </c>
      <c r="Q144" s="209">
        <f>tblBD_PatronMasa1315[[#This Row],[Deriva D D&lt;=mpe/3]]/SQRT(3)</f>
        <v>0.19245008972987526</v>
      </c>
      <c r="R144" s="208"/>
      <c r="S144" s="209">
        <v>1</v>
      </c>
      <c r="T144" s="210">
        <v>45047</v>
      </c>
      <c r="U144" s="208" t="s">
        <v>1423</v>
      </c>
      <c r="V144" s="202" t="s">
        <v>1420</v>
      </c>
      <c r="W144" s="202">
        <v>7800</v>
      </c>
      <c r="X144" s="202">
        <v>100</v>
      </c>
      <c r="Y14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202">
        <v>51</v>
      </c>
      <c r="I145" s="204" t="s">
        <v>1377</v>
      </c>
      <c r="J145" s="202" t="s">
        <v>28</v>
      </c>
      <c r="K145" s="203" t="s">
        <v>29</v>
      </c>
      <c r="L145" s="214">
        <v>20000</v>
      </c>
      <c r="M145" s="208">
        <v>-4.0000000000000001E-3</v>
      </c>
      <c r="N145" s="266">
        <f>tblBD_PatronMasa1315[[#This Row],[Masa nominal mN                              (g)]]+(tblBD_PatronMasa1315[[#This Row],[Error certificado calibración δmc                  (mg)]])/1000</f>
        <v>19999.999995999999</v>
      </c>
      <c r="O145" s="206">
        <v>8.7999999999999995E-2</v>
      </c>
      <c r="P145" s="221">
        <f>tblBD_PatronMasa1315[[#This Row],[mpe]]/3</f>
        <v>0.33333333333333331</v>
      </c>
      <c r="Q145" s="209">
        <f>tblBD_PatronMasa1315[[#This Row],[Deriva D D&lt;=mpe/3]]/SQRT(3)</f>
        <v>0.19245008972987526</v>
      </c>
      <c r="R145" s="208"/>
      <c r="S145" s="209">
        <v>1</v>
      </c>
      <c r="T145" s="210">
        <v>45047</v>
      </c>
      <c r="U145" s="208" t="s">
        <v>1423</v>
      </c>
      <c r="V145" s="202" t="s">
        <v>1420</v>
      </c>
      <c r="W145" s="202">
        <v>7800</v>
      </c>
      <c r="X145" s="202">
        <v>100</v>
      </c>
      <c r="Y14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202">
        <v>52</v>
      </c>
      <c r="I146" s="204" t="s">
        <v>1378</v>
      </c>
      <c r="J146" s="202" t="s">
        <v>28</v>
      </c>
      <c r="K146" s="203" t="s">
        <v>29</v>
      </c>
      <c r="L146" s="214">
        <v>20000</v>
      </c>
      <c r="M146" s="208">
        <v>-4.0000000000000001E-3</v>
      </c>
      <c r="N146" s="266">
        <f>tblBD_PatronMasa1315[[#This Row],[Masa nominal mN                              (g)]]+(tblBD_PatronMasa1315[[#This Row],[Error certificado calibración δmc                  (mg)]])/1000</f>
        <v>19999.999995999999</v>
      </c>
      <c r="O146" s="206">
        <v>8.7999999999999995E-2</v>
      </c>
      <c r="P146" s="221">
        <f>tblBD_PatronMasa1315[[#This Row],[mpe]]/3</f>
        <v>0.33333333333333331</v>
      </c>
      <c r="Q146" s="209">
        <f>tblBD_PatronMasa1315[[#This Row],[Deriva D D&lt;=mpe/3]]/SQRT(3)</f>
        <v>0.19245008972987526</v>
      </c>
      <c r="R146" s="208"/>
      <c r="S146" s="209">
        <v>1</v>
      </c>
      <c r="T146" s="210">
        <v>45047</v>
      </c>
      <c r="U146" s="208" t="s">
        <v>1423</v>
      </c>
      <c r="V146" s="202" t="s">
        <v>1420</v>
      </c>
      <c r="W146" s="202">
        <v>7800</v>
      </c>
      <c r="X146" s="202">
        <v>100</v>
      </c>
      <c r="Y14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202">
        <v>53</v>
      </c>
      <c r="I147" s="204" t="s">
        <v>1379</v>
      </c>
      <c r="J147" s="202" t="s">
        <v>28</v>
      </c>
      <c r="K147" s="203" t="s">
        <v>29</v>
      </c>
      <c r="L147" s="214">
        <v>20000</v>
      </c>
      <c r="M147" s="208">
        <v>9.6000000000000002E-2</v>
      </c>
      <c r="N147" s="266">
        <f>tblBD_PatronMasa1315[[#This Row],[Masa nominal mN                              (g)]]+(tblBD_PatronMasa1315[[#This Row],[Error certificado calibración δmc                  (mg)]])/1000</f>
        <v>20000.000096</v>
      </c>
      <c r="O147" s="206">
        <v>8.7999999999999995E-2</v>
      </c>
      <c r="P147" s="221">
        <f>tblBD_PatronMasa1315[[#This Row],[mpe]]/3</f>
        <v>0.33333333333333331</v>
      </c>
      <c r="Q147" s="209">
        <f>tblBD_PatronMasa1315[[#This Row],[Deriva D D&lt;=mpe/3]]/SQRT(3)</f>
        <v>0.19245008972987526</v>
      </c>
      <c r="R147" s="208"/>
      <c r="S147" s="209">
        <v>1</v>
      </c>
      <c r="T147" s="210">
        <v>45047</v>
      </c>
      <c r="U147" s="208" t="s">
        <v>1423</v>
      </c>
      <c r="V147" s="202" t="s">
        <v>1420</v>
      </c>
      <c r="W147" s="202">
        <v>7800</v>
      </c>
      <c r="X147" s="202">
        <v>100</v>
      </c>
      <c r="Y14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202">
        <v>54</v>
      </c>
      <c r="I148" s="204" t="s">
        <v>1380</v>
      </c>
      <c r="J148" s="202" t="s">
        <v>28</v>
      </c>
      <c r="K148" s="203" t="s">
        <v>29</v>
      </c>
      <c r="L148" s="220">
        <v>20000</v>
      </c>
      <c r="M148" s="208">
        <v>-4.0000000000000001E-3</v>
      </c>
      <c r="N148" s="266">
        <f>tblBD_PatronMasa1315[[#This Row],[Masa nominal mN                              (g)]]+(tblBD_PatronMasa1315[[#This Row],[Error certificado calibración δmc                  (mg)]])/1000</f>
        <v>19999.999995999999</v>
      </c>
      <c r="O148" s="206">
        <v>8.7999999999999995E-2</v>
      </c>
      <c r="P148" s="221">
        <f>tblBD_PatronMasa1315[[#This Row],[mpe]]/3</f>
        <v>0.33333333333333331</v>
      </c>
      <c r="Q148" s="209">
        <f>tblBD_PatronMasa1315[[#This Row],[Deriva D D&lt;=mpe/3]]/SQRT(3)</f>
        <v>0.19245008972987526</v>
      </c>
      <c r="R148" s="208"/>
      <c r="S148" s="209">
        <v>1</v>
      </c>
      <c r="T148" s="210">
        <v>45047</v>
      </c>
      <c r="U148" s="208" t="s">
        <v>1423</v>
      </c>
      <c r="V148" s="202" t="s">
        <v>1420</v>
      </c>
      <c r="W148" s="202">
        <v>7800</v>
      </c>
      <c r="X148" s="202">
        <v>100</v>
      </c>
      <c r="Y14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202">
        <v>55</v>
      </c>
      <c r="I149" s="204" t="s">
        <v>1381</v>
      </c>
      <c r="J149" s="202" t="s">
        <v>28</v>
      </c>
      <c r="K149" s="203" t="s">
        <v>29</v>
      </c>
      <c r="L149" s="214">
        <v>20000</v>
      </c>
      <c r="M149" s="208">
        <v>-4.0000000000000001E-3</v>
      </c>
      <c r="N149" s="266">
        <f>tblBD_PatronMasa1315[[#This Row],[Masa nominal mN                              (g)]]+(tblBD_PatronMasa1315[[#This Row],[Error certificado calibración δmc                  (mg)]])/1000</f>
        <v>19999.999995999999</v>
      </c>
      <c r="O149" s="206">
        <v>8.7999999999999995E-2</v>
      </c>
      <c r="P149" s="221">
        <f>tblBD_PatronMasa1315[[#This Row],[mpe]]/3</f>
        <v>0.33333333333333331</v>
      </c>
      <c r="Q149" s="209">
        <f>tblBD_PatronMasa1315[[#This Row],[Deriva D D&lt;=mpe/3]]/SQRT(3)</f>
        <v>0.19245008972987526</v>
      </c>
      <c r="R149" s="208"/>
      <c r="S149" s="209">
        <v>1</v>
      </c>
      <c r="T149" s="210">
        <v>45047</v>
      </c>
      <c r="U149" s="208" t="s">
        <v>1423</v>
      </c>
      <c r="V149" s="202" t="s">
        <v>1420</v>
      </c>
      <c r="W149" s="202">
        <v>7800</v>
      </c>
      <c r="X149" s="202">
        <v>100</v>
      </c>
      <c r="Y14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202">
        <v>56</v>
      </c>
      <c r="I150" s="204" t="s">
        <v>1382</v>
      </c>
      <c r="J150" s="202" t="s">
        <v>28</v>
      </c>
      <c r="K150" s="203" t="s">
        <v>29</v>
      </c>
      <c r="L150" s="214">
        <v>20000</v>
      </c>
      <c r="M150" s="208">
        <v>9.6000000000000002E-2</v>
      </c>
      <c r="N150" s="266">
        <f>tblBD_PatronMasa1315[[#This Row],[Masa nominal mN                              (g)]]+(tblBD_PatronMasa1315[[#This Row],[Error certificado calibración δmc                  (mg)]])/1000</f>
        <v>20000.000096</v>
      </c>
      <c r="O150" s="206">
        <v>8.7999999999999995E-2</v>
      </c>
      <c r="P150" s="221">
        <f>tblBD_PatronMasa1315[[#This Row],[mpe]]/3</f>
        <v>0.33333333333333331</v>
      </c>
      <c r="Q150" s="209">
        <f>tblBD_PatronMasa1315[[#This Row],[Deriva D D&lt;=mpe/3]]/SQRT(3)</f>
        <v>0.19245008972987526</v>
      </c>
      <c r="R150" s="208"/>
      <c r="S150" s="209">
        <v>1</v>
      </c>
      <c r="T150" s="210">
        <v>45047</v>
      </c>
      <c r="U150" s="208" t="s">
        <v>1423</v>
      </c>
      <c r="V150" s="202" t="s">
        <v>1420</v>
      </c>
      <c r="W150" s="202">
        <v>7800</v>
      </c>
      <c r="X150" s="202">
        <v>100</v>
      </c>
      <c r="Y15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202">
        <v>57</v>
      </c>
      <c r="I151" s="204" t="s">
        <v>1383</v>
      </c>
      <c r="J151" s="202" t="s">
        <v>28</v>
      </c>
      <c r="K151" s="203" t="s">
        <v>29</v>
      </c>
      <c r="L151" s="214">
        <v>20000</v>
      </c>
      <c r="M151" s="208">
        <v>-4.0000000000000001E-3</v>
      </c>
      <c r="N151" s="266">
        <f>tblBD_PatronMasa1315[[#This Row],[Masa nominal mN                              (g)]]+(tblBD_PatronMasa1315[[#This Row],[Error certificado calibración δmc                  (mg)]])/1000</f>
        <v>19999.999995999999</v>
      </c>
      <c r="O151" s="206">
        <v>8.7999999999999995E-2</v>
      </c>
      <c r="P151" s="221">
        <f>tblBD_PatronMasa1315[[#This Row],[mpe]]/3</f>
        <v>0.33333333333333331</v>
      </c>
      <c r="Q151" s="209">
        <f>tblBD_PatronMasa1315[[#This Row],[Deriva D D&lt;=mpe/3]]/SQRT(3)</f>
        <v>0.19245008972987526</v>
      </c>
      <c r="R151" s="208"/>
      <c r="S151" s="209">
        <v>1</v>
      </c>
      <c r="T151" s="210">
        <v>45047</v>
      </c>
      <c r="U151" s="208" t="s">
        <v>1423</v>
      </c>
      <c r="V151" s="202" t="s">
        <v>1420</v>
      </c>
      <c r="W151" s="202">
        <v>7800</v>
      </c>
      <c r="X151" s="202">
        <v>100</v>
      </c>
      <c r="Y15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202">
        <v>58</v>
      </c>
      <c r="I152" s="204" t="s">
        <v>1384</v>
      </c>
      <c r="J152" s="202" t="s">
        <v>28</v>
      </c>
      <c r="K152" s="203" t="s">
        <v>29</v>
      </c>
      <c r="L152" s="214">
        <v>20000</v>
      </c>
      <c r="M152" s="208">
        <v>-4.0000000000000001E-3</v>
      </c>
      <c r="N152" s="266">
        <f>tblBD_PatronMasa1315[[#This Row],[Masa nominal mN                              (g)]]+(tblBD_PatronMasa1315[[#This Row],[Error certificado calibración δmc                  (mg)]])/1000</f>
        <v>19999.999995999999</v>
      </c>
      <c r="O152" s="206">
        <v>8.7999999999999995E-2</v>
      </c>
      <c r="P152" s="221">
        <f>tblBD_PatronMasa1315[[#This Row],[mpe]]/3</f>
        <v>0.33333333333333331</v>
      </c>
      <c r="Q152" s="209">
        <f>tblBD_PatronMasa1315[[#This Row],[Deriva D D&lt;=mpe/3]]/SQRT(3)</f>
        <v>0.19245008972987526</v>
      </c>
      <c r="R152" s="208"/>
      <c r="S152" s="209">
        <v>1</v>
      </c>
      <c r="T152" s="210">
        <v>45047</v>
      </c>
      <c r="U152" s="208" t="s">
        <v>1423</v>
      </c>
      <c r="V152" s="202" t="s">
        <v>1420</v>
      </c>
      <c r="W152" s="202">
        <v>7800</v>
      </c>
      <c r="X152" s="202">
        <v>100</v>
      </c>
      <c r="Y15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202">
        <v>59</v>
      </c>
      <c r="I153" s="204" t="s">
        <v>1385</v>
      </c>
      <c r="J153" s="202" t="s">
        <v>28</v>
      </c>
      <c r="K153" s="203" t="s">
        <v>29</v>
      </c>
      <c r="L153" s="214">
        <v>20000</v>
      </c>
      <c r="M153" s="208">
        <v>-4.0000000000000001E-3</v>
      </c>
      <c r="N153" s="266">
        <f>tblBD_PatronMasa1315[[#This Row],[Masa nominal mN                              (g)]]+(tblBD_PatronMasa1315[[#This Row],[Error certificado calibración δmc                  (mg)]])/1000</f>
        <v>19999.999995999999</v>
      </c>
      <c r="O153" s="206">
        <v>8.7999999999999995E-2</v>
      </c>
      <c r="P153" s="221">
        <f>tblBD_PatronMasa1315[[#This Row],[mpe]]/3</f>
        <v>0.33333333333333331</v>
      </c>
      <c r="Q153" s="209">
        <f>tblBD_PatronMasa1315[[#This Row],[Deriva D D&lt;=mpe/3]]/SQRT(3)</f>
        <v>0.19245008972987526</v>
      </c>
      <c r="R153" s="208"/>
      <c r="S153" s="209">
        <v>1</v>
      </c>
      <c r="T153" s="210">
        <v>45047</v>
      </c>
      <c r="U153" s="208" t="s">
        <v>1423</v>
      </c>
      <c r="V153" s="202" t="s">
        <v>1420</v>
      </c>
      <c r="W153" s="202">
        <v>7800</v>
      </c>
      <c r="X153" s="202">
        <v>100</v>
      </c>
      <c r="Y15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202">
        <v>60</v>
      </c>
      <c r="I154" s="204" t="s">
        <v>1386</v>
      </c>
      <c r="J154" s="202" t="s">
        <v>28</v>
      </c>
      <c r="K154" s="203" t="s">
        <v>29</v>
      </c>
      <c r="L154" s="214">
        <v>20000</v>
      </c>
      <c r="M154" s="208">
        <v>-4.0000000000000001E-3</v>
      </c>
      <c r="N154" s="266">
        <f>tblBD_PatronMasa1315[[#This Row],[Masa nominal mN                              (g)]]+(tblBD_PatronMasa1315[[#This Row],[Error certificado calibración δmc                  (mg)]])/1000</f>
        <v>19999.999995999999</v>
      </c>
      <c r="O154" s="206">
        <v>8.7999999999999995E-2</v>
      </c>
      <c r="P154" s="221">
        <f>tblBD_PatronMasa1315[[#This Row],[mpe]]/3</f>
        <v>0.33333333333333331</v>
      </c>
      <c r="Q154" s="209">
        <f>tblBD_PatronMasa1315[[#This Row],[Deriva D D&lt;=mpe/3]]/SQRT(3)</f>
        <v>0.19245008972987526</v>
      </c>
      <c r="R154" s="208"/>
      <c r="S154" s="209">
        <v>1</v>
      </c>
      <c r="T154" s="210">
        <v>45047</v>
      </c>
      <c r="U154" s="208" t="s">
        <v>1423</v>
      </c>
      <c r="V154" s="202" t="s">
        <v>1420</v>
      </c>
      <c r="W154" s="202">
        <v>7800</v>
      </c>
      <c r="X154" s="202">
        <v>100</v>
      </c>
      <c r="Y15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202">
        <v>61</v>
      </c>
      <c r="I155" s="204" t="s">
        <v>1387</v>
      </c>
      <c r="J155" s="202" t="s">
        <v>28</v>
      </c>
      <c r="K155" s="203" t="s">
        <v>29</v>
      </c>
      <c r="L155" s="214">
        <v>20000</v>
      </c>
      <c r="M155" s="208">
        <v>-4.0000000000000001E-3</v>
      </c>
      <c r="N155" s="266">
        <f>tblBD_PatronMasa1315[[#This Row],[Masa nominal mN                              (g)]]+(tblBD_PatronMasa1315[[#This Row],[Error certificado calibración δmc                  (mg)]])/1000</f>
        <v>19999.999995999999</v>
      </c>
      <c r="O155" s="206">
        <v>8.7999999999999995E-2</v>
      </c>
      <c r="P155" s="221">
        <f>tblBD_PatronMasa1315[[#This Row],[mpe]]/3</f>
        <v>0.33333333333333331</v>
      </c>
      <c r="Q155" s="209">
        <f>tblBD_PatronMasa1315[[#This Row],[Deriva D D&lt;=mpe/3]]/SQRT(3)</f>
        <v>0.19245008972987526</v>
      </c>
      <c r="R155" s="208"/>
      <c r="S155" s="209">
        <v>1</v>
      </c>
      <c r="T155" s="210">
        <v>45047</v>
      </c>
      <c r="U155" s="208" t="s">
        <v>1423</v>
      </c>
      <c r="V155" s="202" t="s">
        <v>1420</v>
      </c>
      <c r="W155" s="202">
        <v>7800</v>
      </c>
      <c r="X155" s="202">
        <v>100</v>
      </c>
      <c r="Y15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202">
        <v>62</v>
      </c>
      <c r="I156" s="204" t="s">
        <v>1388</v>
      </c>
      <c r="J156" s="202" t="s">
        <v>28</v>
      </c>
      <c r="K156" s="203" t="s">
        <v>29</v>
      </c>
      <c r="L156" s="214">
        <v>20000</v>
      </c>
      <c r="M156" s="208">
        <v>-4.0000000000000001E-3</v>
      </c>
      <c r="N156" s="266">
        <f>tblBD_PatronMasa1315[[#This Row],[Masa nominal mN                              (g)]]+(tblBD_PatronMasa1315[[#This Row],[Error certificado calibración δmc                  (mg)]])/1000</f>
        <v>19999.999995999999</v>
      </c>
      <c r="O156" s="206">
        <v>8.7999999999999995E-2</v>
      </c>
      <c r="P156" s="221">
        <f>tblBD_PatronMasa1315[[#This Row],[mpe]]/3</f>
        <v>0.33333333333333331</v>
      </c>
      <c r="Q156" s="209">
        <f>tblBD_PatronMasa1315[[#This Row],[Deriva D D&lt;=mpe/3]]/SQRT(3)</f>
        <v>0.19245008972987526</v>
      </c>
      <c r="R156" s="208"/>
      <c r="S156" s="209">
        <v>1</v>
      </c>
      <c r="T156" s="210">
        <v>45047</v>
      </c>
      <c r="U156" s="208" t="s">
        <v>1423</v>
      </c>
      <c r="V156" s="202" t="s">
        <v>1420</v>
      </c>
      <c r="W156" s="202">
        <v>7800</v>
      </c>
      <c r="X156" s="202">
        <v>100</v>
      </c>
      <c r="Y15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202">
        <v>63</v>
      </c>
      <c r="I157" s="204" t="s">
        <v>1389</v>
      </c>
      <c r="J157" s="202" t="s">
        <v>28</v>
      </c>
      <c r="K157" s="203" t="s">
        <v>29</v>
      </c>
      <c r="L157" s="214">
        <v>20000</v>
      </c>
      <c r="M157" s="208">
        <v>-4.0000000000000001E-3</v>
      </c>
      <c r="N157" s="266">
        <f>tblBD_PatronMasa1315[[#This Row],[Masa nominal mN                              (g)]]+(tblBD_PatronMasa1315[[#This Row],[Error certificado calibración δmc                  (mg)]])/1000</f>
        <v>19999.999995999999</v>
      </c>
      <c r="O157" s="206">
        <v>8.7999999999999995E-2</v>
      </c>
      <c r="P157" s="221">
        <f>tblBD_PatronMasa1315[[#This Row],[mpe]]/3</f>
        <v>0.33333333333333331</v>
      </c>
      <c r="Q157" s="209">
        <f>tblBD_PatronMasa1315[[#This Row],[Deriva D D&lt;=mpe/3]]/SQRT(3)</f>
        <v>0.19245008972987526</v>
      </c>
      <c r="R157" s="208"/>
      <c r="S157" s="209">
        <v>1</v>
      </c>
      <c r="T157" s="210">
        <v>45047</v>
      </c>
      <c r="U157" s="208" t="s">
        <v>1423</v>
      </c>
      <c r="V157" s="202" t="s">
        <v>1420</v>
      </c>
      <c r="W157" s="202">
        <v>7800</v>
      </c>
      <c r="X157" s="202">
        <v>100</v>
      </c>
      <c r="Y15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202">
        <v>64</v>
      </c>
      <c r="I158" s="204" t="s">
        <v>1390</v>
      </c>
      <c r="J158" s="202" t="s">
        <v>28</v>
      </c>
      <c r="K158" s="203" t="s">
        <v>29</v>
      </c>
      <c r="L158" s="222">
        <v>20000</v>
      </c>
      <c r="M158" s="208">
        <v>9.6000000000000002E-2</v>
      </c>
      <c r="N158" s="266">
        <f>tblBD_PatronMasa1315[[#This Row],[Masa nominal mN                              (g)]]+(tblBD_PatronMasa1315[[#This Row],[Error certificado calibración δmc                  (mg)]])/1000</f>
        <v>20000.000096</v>
      </c>
      <c r="O158" s="206">
        <v>8.7999999999999995E-2</v>
      </c>
      <c r="P158" s="221">
        <f>tblBD_PatronMasa1315[[#This Row],[mpe]]/3</f>
        <v>0.33333333333333331</v>
      </c>
      <c r="Q158" s="209">
        <f>tblBD_PatronMasa1315[[#This Row],[Deriva D D&lt;=mpe/3]]/SQRT(3)</f>
        <v>0.19245008972987526</v>
      </c>
      <c r="R158" s="208"/>
      <c r="S158" s="209">
        <v>1</v>
      </c>
      <c r="T158" s="210">
        <v>45047</v>
      </c>
      <c r="U158" s="208" t="s">
        <v>1423</v>
      </c>
      <c r="V158" s="202" t="s">
        <v>1420</v>
      </c>
      <c r="W158" s="202">
        <v>7800</v>
      </c>
      <c r="X158" s="202">
        <v>100</v>
      </c>
      <c r="Y15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202">
        <v>65</v>
      </c>
      <c r="I159" s="204" t="s">
        <v>1391</v>
      </c>
      <c r="J159" s="202" t="s">
        <v>28</v>
      </c>
      <c r="K159" s="203" t="s">
        <v>29</v>
      </c>
      <c r="L159" s="214">
        <v>20000</v>
      </c>
      <c r="M159" s="208">
        <v>-4.0000000000000001E-3</v>
      </c>
      <c r="N159" s="266">
        <f>tblBD_PatronMasa1315[[#This Row],[Masa nominal mN                              (g)]]+(tblBD_PatronMasa1315[[#This Row],[Error certificado calibración δmc                  (mg)]])/1000</f>
        <v>19999.999995999999</v>
      </c>
      <c r="O159" s="206">
        <v>8.7999999999999995E-2</v>
      </c>
      <c r="P159" s="221">
        <f>tblBD_PatronMasa1315[[#This Row],[mpe]]/3</f>
        <v>0.33333333333333331</v>
      </c>
      <c r="Q159" s="209">
        <f>tblBD_PatronMasa1315[[#This Row],[Deriva D D&lt;=mpe/3]]/SQRT(3)</f>
        <v>0.19245008972987526</v>
      </c>
      <c r="R159" s="208"/>
      <c r="S159" s="209">
        <v>1</v>
      </c>
      <c r="T159" s="210">
        <v>45047</v>
      </c>
      <c r="U159" s="208" t="s">
        <v>1423</v>
      </c>
      <c r="V159" s="202" t="s">
        <v>1420</v>
      </c>
      <c r="W159" s="202">
        <v>7800</v>
      </c>
      <c r="X159" s="202">
        <v>100</v>
      </c>
      <c r="Y15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202">
        <v>66</v>
      </c>
      <c r="I160" s="204" t="s">
        <v>1392</v>
      </c>
      <c r="J160" s="202" t="s">
        <v>28</v>
      </c>
      <c r="K160" s="203" t="s">
        <v>29</v>
      </c>
      <c r="L160" s="214">
        <v>20000</v>
      </c>
      <c r="M160" s="208">
        <v>-4.0000000000000001E-3</v>
      </c>
      <c r="N160" s="266">
        <f>tblBD_PatronMasa1315[[#This Row],[Masa nominal mN                              (g)]]+(tblBD_PatronMasa1315[[#This Row],[Error certificado calibración δmc                  (mg)]])/1000</f>
        <v>19999.999995999999</v>
      </c>
      <c r="O160" s="206">
        <v>8.7999999999999995E-2</v>
      </c>
      <c r="P160" s="221">
        <f>tblBD_PatronMasa1315[[#This Row],[mpe]]/3</f>
        <v>0.33333333333333331</v>
      </c>
      <c r="Q160" s="209">
        <f>tblBD_PatronMasa1315[[#This Row],[Deriva D D&lt;=mpe/3]]/SQRT(3)</f>
        <v>0.19245008972987526</v>
      </c>
      <c r="R160" s="208"/>
      <c r="S160" s="209">
        <v>1</v>
      </c>
      <c r="T160" s="210">
        <v>45047</v>
      </c>
      <c r="U160" s="208" t="s">
        <v>1423</v>
      </c>
      <c r="V160" s="202" t="s">
        <v>1420</v>
      </c>
      <c r="W160" s="202">
        <v>7800</v>
      </c>
      <c r="X160" s="202">
        <v>100</v>
      </c>
      <c r="Y16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202">
        <v>67</v>
      </c>
      <c r="I161" s="204" t="s">
        <v>1393</v>
      </c>
      <c r="J161" s="202" t="s">
        <v>28</v>
      </c>
      <c r="K161" s="203" t="s">
        <v>29</v>
      </c>
      <c r="L161" s="222">
        <v>20000</v>
      </c>
      <c r="M161" s="208">
        <v>-0.104</v>
      </c>
      <c r="N161" s="266">
        <f>tblBD_PatronMasa1315[[#This Row],[Masa nominal mN                              (g)]]+(tblBD_PatronMasa1315[[#This Row],[Error certificado calibración δmc                  (mg)]])/1000</f>
        <v>19999.999896000001</v>
      </c>
      <c r="O161" s="206">
        <v>8.7999999999999995E-2</v>
      </c>
      <c r="P161" s="221">
        <f>tblBD_PatronMasa1315[[#This Row],[mpe]]/3</f>
        <v>0.33333333333333331</v>
      </c>
      <c r="Q161" s="209">
        <f>tblBD_PatronMasa1315[[#This Row],[Deriva D D&lt;=mpe/3]]/SQRT(3)</f>
        <v>0.19245008972987526</v>
      </c>
      <c r="R161" s="208"/>
      <c r="S161" s="209">
        <v>1</v>
      </c>
      <c r="T161" s="210">
        <v>45047</v>
      </c>
      <c r="U161" s="208" t="s">
        <v>1423</v>
      </c>
      <c r="V161" s="202" t="s">
        <v>1420</v>
      </c>
      <c r="W161" s="202">
        <v>7800</v>
      </c>
      <c r="X161" s="202">
        <v>100</v>
      </c>
      <c r="Y16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202">
        <v>68</v>
      </c>
      <c r="I162" s="204" t="s">
        <v>1394</v>
      </c>
      <c r="J162" s="202" t="s">
        <v>28</v>
      </c>
      <c r="K162" s="203" t="s">
        <v>29</v>
      </c>
      <c r="L162" s="214">
        <v>20000</v>
      </c>
      <c r="M162" s="208">
        <v>-4.0000000000000001E-3</v>
      </c>
      <c r="N162" s="266">
        <f>tblBD_PatronMasa1315[[#This Row],[Masa nominal mN                              (g)]]+(tblBD_PatronMasa1315[[#This Row],[Error certificado calibración δmc                  (mg)]])/1000</f>
        <v>19999.999995999999</v>
      </c>
      <c r="O162" s="206">
        <v>8.7999999999999995E-2</v>
      </c>
      <c r="P162" s="221">
        <f>tblBD_PatronMasa1315[[#This Row],[mpe]]/3</f>
        <v>0.33333333333333331</v>
      </c>
      <c r="Q162" s="209">
        <f>tblBD_PatronMasa1315[[#This Row],[Deriva D D&lt;=mpe/3]]/SQRT(3)</f>
        <v>0.19245008972987526</v>
      </c>
      <c r="R162" s="208"/>
      <c r="S162" s="209">
        <v>1</v>
      </c>
      <c r="T162" s="210">
        <v>45047</v>
      </c>
      <c r="U162" s="208" t="s">
        <v>1423</v>
      </c>
      <c r="V162" s="202" t="s">
        <v>1420</v>
      </c>
      <c r="W162" s="202">
        <v>7800</v>
      </c>
      <c r="X162" s="202">
        <v>100</v>
      </c>
      <c r="Y16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202">
        <v>69</v>
      </c>
      <c r="I163" s="204" t="s">
        <v>1395</v>
      </c>
      <c r="J163" s="202" t="s">
        <v>28</v>
      </c>
      <c r="K163" s="203" t="s">
        <v>29</v>
      </c>
      <c r="L163" s="214">
        <v>20000</v>
      </c>
      <c r="M163" s="208">
        <v>-4.0000000000000001E-3</v>
      </c>
      <c r="N163" s="266">
        <f>tblBD_PatronMasa1315[[#This Row],[Masa nominal mN                              (g)]]+(tblBD_PatronMasa1315[[#This Row],[Error certificado calibración δmc                  (mg)]])/1000</f>
        <v>19999.999995999999</v>
      </c>
      <c r="O163" s="206">
        <v>8.7999999999999995E-2</v>
      </c>
      <c r="P163" s="221">
        <f>tblBD_PatronMasa1315[[#This Row],[mpe]]/3</f>
        <v>0.33333333333333331</v>
      </c>
      <c r="Q163" s="209">
        <f>tblBD_PatronMasa1315[[#This Row],[Deriva D D&lt;=mpe/3]]/SQRT(3)</f>
        <v>0.19245008972987526</v>
      </c>
      <c r="R163" s="208"/>
      <c r="S163" s="209">
        <v>1</v>
      </c>
      <c r="T163" s="210">
        <v>45047</v>
      </c>
      <c r="U163" s="208" t="s">
        <v>1423</v>
      </c>
      <c r="V163" s="202" t="s">
        <v>1420</v>
      </c>
      <c r="W163" s="202">
        <v>7800</v>
      </c>
      <c r="X163" s="202">
        <v>100</v>
      </c>
      <c r="Y16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202">
        <v>70</v>
      </c>
      <c r="I164" s="204" t="s">
        <v>1396</v>
      </c>
      <c r="J164" s="202" t="s">
        <v>28</v>
      </c>
      <c r="K164" s="203" t="s">
        <v>29</v>
      </c>
      <c r="L164" s="214">
        <v>20000</v>
      </c>
      <c r="M164" s="208">
        <v>-4.0000000000000001E-3</v>
      </c>
      <c r="N164" s="266">
        <f>tblBD_PatronMasa1315[[#This Row],[Masa nominal mN                              (g)]]+(tblBD_PatronMasa1315[[#This Row],[Error certificado calibración δmc                  (mg)]])/1000</f>
        <v>19999.999995999999</v>
      </c>
      <c r="O164" s="206">
        <v>8.7999999999999995E-2</v>
      </c>
      <c r="P164" s="221">
        <f>tblBD_PatronMasa1315[[#This Row],[mpe]]/3</f>
        <v>0.33333333333333331</v>
      </c>
      <c r="Q164" s="209">
        <f>tblBD_PatronMasa1315[[#This Row],[Deriva D D&lt;=mpe/3]]/SQRT(3)</f>
        <v>0.19245008972987526</v>
      </c>
      <c r="R164" s="208"/>
      <c r="S164" s="209">
        <v>1</v>
      </c>
      <c r="T164" s="210">
        <v>45047</v>
      </c>
      <c r="U164" s="208" t="s">
        <v>1423</v>
      </c>
      <c r="V164" s="202" t="s">
        <v>1420</v>
      </c>
      <c r="W164" s="202">
        <v>7800</v>
      </c>
      <c r="X164" s="202">
        <v>100</v>
      </c>
      <c r="Y16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202">
        <v>71</v>
      </c>
      <c r="I165" s="204" t="s">
        <v>1397</v>
      </c>
      <c r="J165" s="202" t="s">
        <v>28</v>
      </c>
      <c r="K165" s="203" t="s">
        <v>29</v>
      </c>
      <c r="L165" s="214">
        <v>20000</v>
      </c>
      <c r="M165" s="208">
        <v>-4.0000000000000001E-3</v>
      </c>
      <c r="N165" s="266">
        <f>tblBD_PatronMasa1315[[#This Row],[Masa nominal mN                              (g)]]+(tblBD_PatronMasa1315[[#This Row],[Error certificado calibración δmc                  (mg)]])/1000</f>
        <v>19999.999995999999</v>
      </c>
      <c r="O165" s="206">
        <v>8.7999999999999995E-2</v>
      </c>
      <c r="P165" s="221">
        <f>tblBD_PatronMasa1315[[#This Row],[mpe]]/3</f>
        <v>0.33333333333333331</v>
      </c>
      <c r="Q165" s="209">
        <f>tblBD_PatronMasa1315[[#This Row],[Deriva D D&lt;=mpe/3]]/SQRT(3)</f>
        <v>0.19245008972987526</v>
      </c>
      <c r="R165" s="208"/>
      <c r="S165" s="209">
        <v>1</v>
      </c>
      <c r="T165" s="210">
        <v>45047</v>
      </c>
      <c r="U165" s="208" t="s">
        <v>1423</v>
      </c>
      <c r="V165" s="202" t="s">
        <v>1420</v>
      </c>
      <c r="W165" s="202">
        <v>7800</v>
      </c>
      <c r="X165" s="202">
        <v>100</v>
      </c>
      <c r="Y16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202">
        <v>72</v>
      </c>
      <c r="I166" s="204" t="s">
        <v>1398</v>
      </c>
      <c r="J166" s="202" t="s">
        <v>28</v>
      </c>
      <c r="K166" s="203" t="s">
        <v>29</v>
      </c>
      <c r="L166" s="222">
        <v>20000</v>
      </c>
      <c r="M166" s="208">
        <v>-4.0000000000000001E-3</v>
      </c>
      <c r="N166" s="266">
        <f>tblBD_PatronMasa1315[[#This Row],[Masa nominal mN                              (g)]]+(tblBD_PatronMasa1315[[#This Row],[Error certificado calibración δmc                  (mg)]])/1000</f>
        <v>19999.999995999999</v>
      </c>
      <c r="O166" s="206">
        <v>8.7999999999999995E-2</v>
      </c>
      <c r="P166" s="221">
        <f>tblBD_PatronMasa1315[[#This Row],[mpe]]/3</f>
        <v>0.33333333333333331</v>
      </c>
      <c r="Q166" s="209">
        <f>tblBD_PatronMasa1315[[#This Row],[Deriva D D&lt;=mpe/3]]/SQRT(3)</f>
        <v>0.19245008972987526</v>
      </c>
      <c r="R166" s="208"/>
      <c r="S166" s="209">
        <v>1</v>
      </c>
      <c r="T166" s="210">
        <v>45047</v>
      </c>
      <c r="U166" s="208" t="s">
        <v>1423</v>
      </c>
      <c r="V166" s="202" t="s">
        <v>1420</v>
      </c>
      <c r="W166" s="202">
        <v>7800</v>
      </c>
      <c r="X166" s="202">
        <v>100</v>
      </c>
      <c r="Y16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202">
        <v>73</v>
      </c>
      <c r="I167" s="204" t="s">
        <v>1399</v>
      </c>
      <c r="J167" s="202" t="s">
        <v>28</v>
      </c>
      <c r="K167" s="203" t="s">
        <v>29</v>
      </c>
      <c r="L167" s="214">
        <v>20000</v>
      </c>
      <c r="M167" s="208">
        <v>9.6000000000000002E-2</v>
      </c>
      <c r="N167" s="266">
        <f>tblBD_PatronMasa1315[[#This Row],[Masa nominal mN                              (g)]]+(tblBD_PatronMasa1315[[#This Row],[Error certificado calibración δmc                  (mg)]])/1000</f>
        <v>20000.000096</v>
      </c>
      <c r="O167" s="206">
        <v>8.7999999999999995E-2</v>
      </c>
      <c r="P167" s="221">
        <f>tblBD_PatronMasa1315[[#This Row],[mpe]]/3</f>
        <v>0.33333333333333331</v>
      </c>
      <c r="Q167" s="209">
        <f>tblBD_PatronMasa1315[[#This Row],[Deriva D D&lt;=mpe/3]]/SQRT(3)</f>
        <v>0.19245008972987526</v>
      </c>
      <c r="R167" s="208"/>
      <c r="S167" s="209">
        <v>1</v>
      </c>
      <c r="T167" s="210">
        <v>45047</v>
      </c>
      <c r="U167" s="208" t="s">
        <v>1423</v>
      </c>
      <c r="V167" s="202" t="s">
        <v>1420</v>
      </c>
      <c r="W167" s="202">
        <v>7800</v>
      </c>
      <c r="X167" s="202">
        <v>100</v>
      </c>
      <c r="Y16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202">
        <v>74</v>
      </c>
      <c r="I168" s="204" t="s">
        <v>1400</v>
      </c>
      <c r="J168" s="202" t="s">
        <v>28</v>
      </c>
      <c r="K168" s="203" t="s">
        <v>29</v>
      </c>
      <c r="L168" s="214">
        <v>20000</v>
      </c>
      <c r="M168" s="208">
        <v>-4.0000000000000001E-3</v>
      </c>
      <c r="N168" s="266">
        <f>tblBD_PatronMasa1315[[#This Row],[Masa nominal mN                              (g)]]+(tblBD_PatronMasa1315[[#This Row],[Error certificado calibración δmc                  (mg)]])/1000</f>
        <v>19999.999995999999</v>
      </c>
      <c r="O168" s="206">
        <v>8.7999999999999995E-2</v>
      </c>
      <c r="P168" s="221">
        <f>tblBD_PatronMasa1315[[#This Row],[mpe]]/3</f>
        <v>0.33333333333333331</v>
      </c>
      <c r="Q168" s="209">
        <f>tblBD_PatronMasa1315[[#This Row],[Deriva D D&lt;=mpe/3]]/SQRT(3)</f>
        <v>0.19245008972987526</v>
      </c>
      <c r="R168" s="208"/>
      <c r="S168" s="209">
        <v>1</v>
      </c>
      <c r="T168" s="210">
        <v>45047</v>
      </c>
      <c r="U168" s="208" t="s">
        <v>1423</v>
      </c>
      <c r="V168" s="202" t="s">
        <v>1420</v>
      </c>
      <c r="W168" s="202">
        <v>7800</v>
      </c>
      <c r="X168" s="202">
        <v>100</v>
      </c>
      <c r="Y16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202">
        <v>75</v>
      </c>
      <c r="I169" s="204" t="s">
        <v>1401</v>
      </c>
      <c r="J169" s="202" t="s">
        <v>28</v>
      </c>
      <c r="K169" s="203" t="s">
        <v>29</v>
      </c>
      <c r="L169" s="214">
        <v>20000</v>
      </c>
      <c r="M169" s="208">
        <v>-4.0000000000000001E-3</v>
      </c>
      <c r="N169" s="266">
        <f>tblBD_PatronMasa1315[[#This Row],[Masa nominal mN                              (g)]]+(tblBD_PatronMasa1315[[#This Row],[Error certificado calibración δmc                  (mg)]])/1000</f>
        <v>19999.999995999999</v>
      </c>
      <c r="O169" s="206">
        <v>8.7999999999999995E-2</v>
      </c>
      <c r="P169" s="221">
        <f>tblBD_PatronMasa1315[[#This Row],[mpe]]/3</f>
        <v>0.33333333333333331</v>
      </c>
      <c r="Q169" s="209">
        <f>tblBD_PatronMasa1315[[#This Row],[Deriva D D&lt;=mpe/3]]/SQRT(3)</f>
        <v>0.19245008972987526</v>
      </c>
      <c r="R169" s="208"/>
      <c r="S169" s="209">
        <v>1</v>
      </c>
      <c r="T169" s="210">
        <v>45047</v>
      </c>
      <c r="U169" s="208" t="s">
        <v>1423</v>
      </c>
      <c r="V169" s="202" t="s">
        <v>1420</v>
      </c>
      <c r="W169" s="202">
        <v>7800</v>
      </c>
      <c r="X169" s="202">
        <v>100</v>
      </c>
      <c r="Y16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202">
        <v>76</v>
      </c>
      <c r="I170" s="204" t="s">
        <v>1402</v>
      </c>
      <c r="J170" s="202" t="s">
        <v>28</v>
      </c>
      <c r="K170" s="203" t="s">
        <v>29</v>
      </c>
      <c r="L170" s="214">
        <v>20000</v>
      </c>
      <c r="M170" s="208">
        <v>-4.0000000000000001E-3</v>
      </c>
      <c r="N170" s="266">
        <f>tblBD_PatronMasa1315[[#This Row],[Masa nominal mN                              (g)]]+(tblBD_PatronMasa1315[[#This Row],[Error certificado calibración δmc                  (mg)]])/1000</f>
        <v>19999.999995999999</v>
      </c>
      <c r="O170" s="206">
        <v>8.7999999999999995E-2</v>
      </c>
      <c r="P170" s="221">
        <f>tblBD_PatronMasa1315[[#This Row],[mpe]]/3</f>
        <v>0.33333333333333331</v>
      </c>
      <c r="Q170" s="209">
        <f>tblBD_PatronMasa1315[[#This Row],[Deriva D D&lt;=mpe/3]]/SQRT(3)</f>
        <v>0.19245008972987526</v>
      </c>
      <c r="R170" s="208"/>
      <c r="S170" s="209">
        <v>1</v>
      </c>
      <c r="T170" s="210">
        <v>45047</v>
      </c>
      <c r="U170" s="208" t="s">
        <v>1423</v>
      </c>
      <c r="V170" s="202" t="s">
        <v>1420</v>
      </c>
      <c r="W170" s="202">
        <v>7800</v>
      </c>
      <c r="X170" s="202">
        <v>100</v>
      </c>
      <c r="Y17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202">
        <v>77</v>
      </c>
      <c r="I171" s="204" t="s">
        <v>1403</v>
      </c>
      <c r="J171" s="202" t="s">
        <v>28</v>
      </c>
      <c r="K171" s="203" t="s">
        <v>29</v>
      </c>
      <c r="L171" s="214">
        <v>20000</v>
      </c>
      <c r="M171" s="208">
        <v>-4.0000000000000001E-3</v>
      </c>
      <c r="N171" s="266">
        <f>tblBD_PatronMasa1315[[#This Row],[Masa nominal mN                              (g)]]+(tblBD_PatronMasa1315[[#This Row],[Error certificado calibración δmc                  (mg)]])/1000</f>
        <v>19999.999995999999</v>
      </c>
      <c r="O171" s="206">
        <v>8.7999999999999995E-2</v>
      </c>
      <c r="P171" s="221">
        <f>tblBD_PatronMasa1315[[#This Row],[mpe]]/3</f>
        <v>0.33333333333333331</v>
      </c>
      <c r="Q171" s="209">
        <f>tblBD_PatronMasa1315[[#This Row],[Deriva D D&lt;=mpe/3]]/SQRT(3)</f>
        <v>0.19245008972987526</v>
      </c>
      <c r="R171" s="208"/>
      <c r="S171" s="209">
        <v>1</v>
      </c>
      <c r="T171" s="210">
        <v>45047</v>
      </c>
      <c r="U171" s="208" t="s">
        <v>1423</v>
      </c>
      <c r="V171" s="202" t="s">
        <v>1420</v>
      </c>
      <c r="W171" s="202">
        <v>7800</v>
      </c>
      <c r="X171" s="202">
        <v>100</v>
      </c>
      <c r="Y17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202">
        <v>78</v>
      </c>
      <c r="I172" s="204" t="s">
        <v>1404</v>
      </c>
      <c r="J172" s="202" t="s">
        <v>28</v>
      </c>
      <c r="K172" s="203" t="s">
        <v>29</v>
      </c>
      <c r="L172" s="214">
        <v>20000</v>
      </c>
      <c r="M172" s="208">
        <v>-4.0000000000000001E-3</v>
      </c>
      <c r="N172" s="266">
        <f>tblBD_PatronMasa1315[[#This Row],[Masa nominal mN                              (g)]]+(tblBD_PatronMasa1315[[#This Row],[Error certificado calibración δmc                  (mg)]])/1000</f>
        <v>19999.999995999999</v>
      </c>
      <c r="O172" s="206">
        <v>8.7999999999999995E-2</v>
      </c>
      <c r="P172" s="208">
        <f>tblBD_PatronMasa1315[[#This Row],[mpe]]/3</f>
        <v>0.33333333333333331</v>
      </c>
      <c r="Q172" s="209">
        <f>tblBD_PatronMasa1315[[#This Row],[Deriva D D&lt;=mpe/3]]/SQRT(3)</f>
        <v>0.19245008972987526</v>
      </c>
      <c r="R172" s="208"/>
      <c r="S172" s="209">
        <v>1</v>
      </c>
      <c r="T172" s="210">
        <v>45047</v>
      </c>
      <c r="U172" s="208" t="s">
        <v>1423</v>
      </c>
      <c r="V172" s="202" t="s">
        <v>1420</v>
      </c>
      <c r="W172" s="202">
        <v>7800</v>
      </c>
      <c r="X172" s="202">
        <v>100</v>
      </c>
      <c r="Y17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202">
        <v>79</v>
      </c>
      <c r="I173" s="204" t="s">
        <v>1405</v>
      </c>
      <c r="J173" s="202" t="s">
        <v>28</v>
      </c>
      <c r="K173" s="203" t="s">
        <v>29</v>
      </c>
      <c r="L173" s="214">
        <v>20000</v>
      </c>
      <c r="M173" s="208">
        <v>-4.0000000000000001E-3</v>
      </c>
      <c r="N173" s="266">
        <f>tblBD_PatronMasa1315[[#This Row],[Masa nominal mN                              (g)]]+(tblBD_PatronMasa1315[[#This Row],[Error certificado calibración δmc                  (mg)]])/1000</f>
        <v>19999.999995999999</v>
      </c>
      <c r="O173" s="206">
        <v>8.7999999999999995E-2</v>
      </c>
      <c r="P173" s="208">
        <f>tblBD_PatronMasa1315[[#This Row],[mpe]]/3</f>
        <v>0.33333333333333331</v>
      </c>
      <c r="Q173" s="209">
        <f>tblBD_PatronMasa1315[[#This Row],[Deriva D D&lt;=mpe/3]]/SQRT(3)</f>
        <v>0.19245008972987526</v>
      </c>
      <c r="R173" s="208"/>
      <c r="S173" s="209">
        <v>1</v>
      </c>
      <c r="T173" s="210">
        <v>45047</v>
      </c>
      <c r="U173" s="208" t="s">
        <v>1423</v>
      </c>
      <c r="V173" s="202" t="s">
        <v>1420</v>
      </c>
      <c r="W173" s="202">
        <v>7800</v>
      </c>
      <c r="X173" s="202">
        <v>100</v>
      </c>
      <c r="Y17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202">
        <v>80</v>
      </c>
      <c r="I174" s="204" t="s">
        <v>1406</v>
      </c>
      <c r="J174" s="202" t="s">
        <v>28</v>
      </c>
      <c r="K174" s="203" t="s">
        <v>29</v>
      </c>
      <c r="L174" s="214">
        <v>20000</v>
      </c>
      <c r="M174" s="208">
        <v>-4.0000000000000001E-3</v>
      </c>
      <c r="N174" s="266">
        <f>tblBD_PatronMasa1315[[#This Row],[Masa nominal mN                              (g)]]+(tblBD_PatronMasa1315[[#This Row],[Error certificado calibración δmc                  (mg)]])/1000</f>
        <v>19999.999995999999</v>
      </c>
      <c r="O174" s="206">
        <v>8.7999999999999995E-2</v>
      </c>
      <c r="P174" s="208">
        <f>tblBD_PatronMasa1315[[#This Row],[mpe]]/3</f>
        <v>0.33333333333333331</v>
      </c>
      <c r="Q174" s="209">
        <f>tblBD_PatronMasa1315[[#This Row],[Deriva D D&lt;=mpe/3]]/SQRT(3)</f>
        <v>0.19245008972987526</v>
      </c>
      <c r="R174" s="208"/>
      <c r="S174" s="209">
        <v>1</v>
      </c>
      <c r="T174" s="210">
        <v>45047</v>
      </c>
      <c r="U174" s="208" t="s">
        <v>1423</v>
      </c>
      <c r="V174" s="202" t="s">
        <v>1420</v>
      </c>
      <c r="W174" s="202">
        <v>7800</v>
      </c>
      <c r="X174" s="202">
        <v>100</v>
      </c>
      <c r="Y17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202">
        <v>81</v>
      </c>
      <c r="I175" s="204" t="s">
        <v>1407</v>
      </c>
      <c r="J175" s="202" t="s">
        <v>28</v>
      </c>
      <c r="K175" s="203" t="s">
        <v>29</v>
      </c>
      <c r="L175" s="214">
        <v>20000</v>
      </c>
      <c r="M175" s="208">
        <v>-4.0000000000000001E-3</v>
      </c>
      <c r="N175" s="266">
        <f>tblBD_PatronMasa1315[[#This Row],[Masa nominal mN                              (g)]]+(tblBD_PatronMasa1315[[#This Row],[Error certificado calibración δmc                  (mg)]])/1000</f>
        <v>19999.999995999999</v>
      </c>
      <c r="O175" s="206">
        <v>8.7999999999999995E-2</v>
      </c>
      <c r="P175" s="208">
        <f>tblBD_PatronMasa1315[[#This Row],[mpe]]/3</f>
        <v>0.33333333333333331</v>
      </c>
      <c r="Q175" s="209">
        <f>tblBD_PatronMasa1315[[#This Row],[Deriva D D&lt;=mpe/3]]/SQRT(3)</f>
        <v>0.19245008972987526</v>
      </c>
      <c r="R175" s="208"/>
      <c r="S175" s="209">
        <v>1</v>
      </c>
      <c r="T175" s="210">
        <v>45047</v>
      </c>
      <c r="U175" s="208" t="s">
        <v>1423</v>
      </c>
      <c r="V175" s="202" t="s">
        <v>1420</v>
      </c>
      <c r="W175" s="202">
        <v>7800</v>
      </c>
      <c r="X175" s="202">
        <v>100</v>
      </c>
      <c r="Y17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202">
        <v>82</v>
      </c>
      <c r="I176" s="204" t="s">
        <v>1408</v>
      </c>
      <c r="J176" s="202" t="s">
        <v>28</v>
      </c>
      <c r="K176" s="203" t="s">
        <v>29</v>
      </c>
      <c r="L176" s="214">
        <v>20000</v>
      </c>
      <c r="M176" s="208">
        <v>-4.0000000000000001E-3</v>
      </c>
      <c r="N176" s="266">
        <f>tblBD_PatronMasa1315[[#This Row],[Masa nominal mN                              (g)]]+(tblBD_PatronMasa1315[[#This Row],[Error certificado calibración δmc                  (mg)]])/1000</f>
        <v>19999.999995999999</v>
      </c>
      <c r="O176" s="206">
        <v>8.7999999999999995E-2</v>
      </c>
      <c r="P176" s="208">
        <f>tblBD_PatronMasa1315[[#This Row],[mpe]]/3</f>
        <v>0.33333333333333331</v>
      </c>
      <c r="Q176" s="209">
        <f>tblBD_PatronMasa1315[[#This Row],[Deriva D D&lt;=mpe/3]]/SQRT(3)</f>
        <v>0.19245008972987526</v>
      </c>
      <c r="R176" s="208"/>
      <c r="S176" s="209">
        <v>1</v>
      </c>
      <c r="T176" s="210">
        <v>45047</v>
      </c>
      <c r="U176" s="208" t="s">
        <v>1423</v>
      </c>
      <c r="V176" s="202" t="s">
        <v>1420</v>
      </c>
      <c r="W176" s="202">
        <v>7800</v>
      </c>
      <c r="X176" s="202">
        <v>100</v>
      </c>
      <c r="Y17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202">
        <v>83</v>
      </c>
      <c r="I177" s="204" t="s">
        <v>1409</v>
      </c>
      <c r="J177" s="202" t="s">
        <v>28</v>
      </c>
      <c r="K177" s="203" t="s">
        <v>29</v>
      </c>
      <c r="L177" s="214">
        <v>20000</v>
      </c>
      <c r="M177" s="208">
        <v>-4.0000000000000001E-3</v>
      </c>
      <c r="N177" s="266">
        <f>tblBD_PatronMasa1315[[#This Row],[Masa nominal mN                              (g)]]+(tblBD_PatronMasa1315[[#This Row],[Error certificado calibración δmc                  (mg)]])/1000</f>
        <v>19999.999995999999</v>
      </c>
      <c r="O177" s="206">
        <v>8.7999999999999995E-2</v>
      </c>
      <c r="P177" s="208">
        <f>tblBD_PatronMasa1315[[#This Row],[mpe]]/3</f>
        <v>0.33333333333333331</v>
      </c>
      <c r="Q177" s="209">
        <f>tblBD_PatronMasa1315[[#This Row],[Deriva D D&lt;=mpe/3]]/SQRT(3)</f>
        <v>0.19245008972987526</v>
      </c>
      <c r="R177" s="208"/>
      <c r="S177" s="209">
        <v>1</v>
      </c>
      <c r="T177" s="210">
        <v>45047</v>
      </c>
      <c r="U177" s="208" t="s">
        <v>1423</v>
      </c>
      <c r="V177" s="202" t="s">
        <v>1420</v>
      </c>
      <c r="W177" s="202">
        <v>7800</v>
      </c>
      <c r="X177" s="202">
        <v>100</v>
      </c>
      <c r="Y17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202">
        <v>84</v>
      </c>
      <c r="I178" s="204" t="s">
        <v>1410</v>
      </c>
      <c r="J178" s="202" t="s">
        <v>28</v>
      </c>
      <c r="K178" s="203" t="s">
        <v>29</v>
      </c>
      <c r="L178" s="214">
        <v>20000</v>
      </c>
      <c r="M178" s="208">
        <v>9.6000000000000002E-2</v>
      </c>
      <c r="N178" s="266">
        <f>tblBD_PatronMasa1315[[#This Row],[Masa nominal mN                              (g)]]+(tblBD_PatronMasa1315[[#This Row],[Error certificado calibración δmc                  (mg)]])/1000</f>
        <v>20000.000096</v>
      </c>
      <c r="O178" s="206">
        <v>8.7999999999999995E-2</v>
      </c>
      <c r="P178" s="208">
        <f>tblBD_PatronMasa1315[[#This Row],[mpe]]/3</f>
        <v>0.33333333333333331</v>
      </c>
      <c r="Q178" s="209">
        <f>tblBD_PatronMasa1315[[#This Row],[Deriva D D&lt;=mpe/3]]/SQRT(3)</f>
        <v>0.19245008972987526</v>
      </c>
      <c r="R178" s="208"/>
      <c r="S178" s="209">
        <v>1</v>
      </c>
      <c r="T178" s="210">
        <v>45047</v>
      </c>
      <c r="U178" s="208" t="s">
        <v>1423</v>
      </c>
      <c r="V178" s="202" t="s">
        <v>1420</v>
      </c>
      <c r="W178" s="202">
        <v>7800</v>
      </c>
      <c r="X178" s="202">
        <v>100</v>
      </c>
      <c r="Y17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202">
        <v>85</v>
      </c>
      <c r="I179" s="204" t="s">
        <v>1411</v>
      </c>
      <c r="J179" s="202" t="s">
        <v>28</v>
      </c>
      <c r="K179" s="203" t="s">
        <v>29</v>
      </c>
      <c r="L179" s="214">
        <v>20000</v>
      </c>
      <c r="M179" s="208">
        <v>-4.0000000000000001E-3</v>
      </c>
      <c r="N179" s="266">
        <f>tblBD_PatronMasa1315[[#This Row],[Masa nominal mN                              (g)]]+(tblBD_PatronMasa1315[[#This Row],[Error certificado calibración δmc                  (mg)]])/1000</f>
        <v>19999.999995999999</v>
      </c>
      <c r="O179" s="206">
        <v>8.7999999999999995E-2</v>
      </c>
      <c r="P179" s="208">
        <f>tblBD_PatronMasa1315[[#This Row],[mpe]]/3</f>
        <v>0.33333333333333331</v>
      </c>
      <c r="Q179" s="209">
        <f>tblBD_PatronMasa1315[[#This Row],[Deriva D D&lt;=mpe/3]]/SQRT(3)</f>
        <v>0.19245008972987526</v>
      </c>
      <c r="R179" s="208"/>
      <c r="S179" s="209">
        <v>1</v>
      </c>
      <c r="T179" s="210">
        <v>45047</v>
      </c>
      <c r="U179" s="208" t="s">
        <v>1423</v>
      </c>
      <c r="V179" s="202" t="s">
        <v>1420</v>
      </c>
      <c r="W179" s="202">
        <v>7800</v>
      </c>
      <c r="X179" s="202">
        <v>100</v>
      </c>
      <c r="Y17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202">
        <v>86</v>
      </c>
      <c r="I180" s="204" t="s">
        <v>1412</v>
      </c>
      <c r="J180" s="202" t="s">
        <v>28</v>
      </c>
      <c r="K180" s="203" t="s">
        <v>29</v>
      </c>
      <c r="L180" s="214">
        <v>20000</v>
      </c>
      <c r="M180" s="208">
        <v>9.6000000000000002E-2</v>
      </c>
      <c r="N180" s="266">
        <f>tblBD_PatronMasa1315[[#This Row],[Masa nominal mN                              (g)]]+(tblBD_PatronMasa1315[[#This Row],[Error certificado calibración δmc                  (mg)]])/1000</f>
        <v>20000.000096</v>
      </c>
      <c r="O180" s="206">
        <v>8.7999999999999995E-2</v>
      </c>
      <c r="P180" s="208">
        <f>tblBD_PatronMasa1315[[#This Row],[mpe]]/3</f>
        <v>0.33333333333333331</v>
      </c>
      <c r="Q180" s="209">
        <f>tblBD_PatronMasa1315[[#This Row],[Deriva D D&lt;=mpe/3]]/SQRT(3)</f>
        <v>0.19245008972987526</v>
      </c>
      <c r="R180" s="208"/>
      <c r="S180" s="209">
        <v>1</v>
      </c>
      <c r="T180" s="210">
        <v>45047</v>
      </c>
      <c r="U180" s="208" t="s">
        <v>1423</v>
      </c>
      <c r="V180" s="202" t="s">
        <v>1420</v>
      </c>
      <c r="W180" s="202">
        <v>7800</v>
      </c>
      <c r="X180" s="202">
        <v>100</v>
      </c>
      <c r="Y18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202">
        <v>87</v>
      </c>
      <c r="I181" s="204" t="s">
        <v>1413</v>
      </c>
      <c r="J181" s="202" t="s">
        <v>28</v>
      </c>
      <c r="K181" s="203" t="s">
        <v>29</v>
      </c>
      <c r="L181" s="214">
        <v>20000</v>
      </c>
      <c r="M181" s="208">
        <v>-0.104</v>
      </c>
      <c r="N181" s="266">
        <f>tblBD_PatronMasa1315[[#This Row],[Masa nominal mN                              (g)]]+(tblBD_PatronMasa1315[[#This Row],[Error certificado calibración δmc                  (mg)]])/1000</f>
        <v>19999.999896000001</v>
      </c>
      <c r="O181" s="206">
        <v>8.7999999999999995E-2</v>
      </c>
      <c r="P181" s="208">
        <f>tblBD_PatronMasa1315[[#This Row],[mpe]]/3</f>
        <v>0.33333333333333331</v>
      </c>
      <c r="Q181" s="209">
        <f>tblBD_PatronMasa1315[[#This Row],[Deriva D D&lt;=mpe/3]]/SQRT(3)</f>
        <v>0.19245008972987526</v>
      </c>
      <c r="R181" s="208"/>
      <c r="S181" s="209">
        <v>1</v>
      </c>
      <c r="T181" s="210">
        <v>45047</v>
      </c>
      <c r="U181" s="208" t="s">
        <v>1423</v>
      </c>
      <c r="V181" s="202" t="s">
        <v>1420</v>
      </c>
      <c r="W181" s="202">
        <v>7800</v>
      </c>
      <c r="X181" s="202">
        <v>100</v>
      </c>
      <c r="Y18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202">
        <v>88</v>
      </c>
      <c r="I182" s="204" t="s">
        <v>1414</v>
      </c>
      <c r="J182" s="202" t="s">
        <v>28</v>
      </c>
      <c r="K182" s="203" t="s">
        <v>29</v>
      </c>
      <c r="L182" s="214">
        <v>20000</v>
      </c>
      <c r="M182" s="208">
        <v>-4.0000000000000001E-3</v>
      </c>
      <c r="N182" s="266">
        <f>tblBD_PatronMasa1315[[#This Row],[Masa nominal mN                              (g)]]+(tblBD_PatronMasa1315[[#This Row],[Error certificado calibración δmc                  (mg)]])/1000</f>
        <v>19999.999995999999</v>
      </c>
      <c r="O182" s="206">
        <v>8.7999999999999995E-2</v>
      </c>
      <c r="P182" s="208">
        <f>tblBD_PatronMasa1315[[#This Row],[mpe]]/3</f>
        <v>0.33333333333333331</v>
      </c>
      <c r="Q182" s="209">
        <f>tblBD_PatronMasa1315[[#This Row],[Deriva D D&lt;=mpe/3]]/SQRT(3)</f>
        <v>0.19245008972987526</v>
      </c>
      <c r="R182" s="208"/>
      <c r="S182" s="209">
        <v>1</v>
      </c>
      <c r="T182" s="210">
        <v>45047</v>
      </c>
      <c r="U182" s="208" t="s">
        <v>1423</v>
      </c>
      <c r="V182" s="202" t="s">
        <v>1420</v>
      </c>
      <c r="W182" s="202">
        <v>7800</v>
      </c>
      <c r="X182" s="202">
        <v>100</v>
      </c>
      <c r="Y18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202">
        <v>89</v>
      </c>
      <c r="I183" s="204" t="s">
        <v>1415</v>
      </c>
      <c r="J183" s="202" t="s">
        <v>28</v>
      </c>
      <c r="K183" s="203" t="s">
        <v>29</v>
      </c>
      <c r="L183" s="214">
        <v>20000</v>
      </c>
      <c r="M183" s="208">
        <v>9.6000000000000002E-2</v>
      </c>
      <c r="N183" s="266">
        <f>tblBD_PatronMasa1315[[#This Row],[Masa nominal mN                              (g)]]+(tblBD_PatronMasa1315[[#This Row],[Error certificado calibración δmc                  (mg)]])/1000</f>
        <v>20000.000096</v>
      </c>
      <c r="O183" s="206">
        <v>8.7999999999999995E-2</v>
      </c>
      <c r="P183" s="208">
        <f>tblBD_PatronMasa1315[[#This Row],[mpe]]/3</f>
        <v>0.33333333333333331</v>
      </c>
      <c r="Q183" s="209">
        <f>tblBD_PatronMasa1315[[#This Row],[Deriva D D&lt;=mpe/3]]/SQRT(3)</f>
        <v>0.19245008972987526</v>
      </c>
      <c r="R183" s="208"/>
      <c r="S183" s="209">
        <v>1</v>
      </c>
      <c r="T183" s="210">
        <v>45047</v>
      </c>
      <c r="U183" s="208" t="s">
        <v>1423</v>
      </c>
      <c r="V183" s="202" t="s">
        <v>1420</v>
      </c>
      <c r="W183" s="202">
        <v>7800</v>
      </c>
      <c r="X183" s="202">
        <v>100</v>
      </c>
      <c r="Y183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202">
        <v>90</v>
      </c>
      <c r="I184" s="204" t="s">
        <v>1416</v>
      </c>
      <c r="J184" s="202" t="s">
        <v>28</v>
      </c>
      <c r="K184" s="203" t="s">
        <v>29</v>
      </c>
      <c r="L184" s="214">
        <v>20000</v>
      </c>
      <c r="M184" s="208">
        <v>-4.0000000000000001E-3</v>
      </c>
      <c r="N184" s="266">
        <f>tblBD_PatronMasa1315[[#This Row],[Masa nominal mN                              (g)]]+(tblBD_PatronMasa1315[[#This Row],[Error certificado calibración δmc                  (mg)]])/1000</f>
        <v>19999.999995999999</v>
      </c>
      <c r="O184" s="206">
        <v>8.7999999999999995E-2</v>
      </c>
      <c r="P184" s="208">
        <f>tblBD_PatronMasa1315[[#This Row],[mpe]]/3</f>
        <v>0.33333333333333331</v>
      </c>
      <c r="Q184" s="209">
        <f>tblBD_PatronMasa1315[[#This Row],[Deriva D D&lt;=mpe/3]]/SQRT(3)</f>
        <v>0.19245008972987526</v>
      </c>
      <c r="R184" s="208"/>
      <c r="S184" s="209">
        <v>1</v>
      </c>
      <c r="T184" s="210">
        <v>45047</v>
      </c>
      <c r="U184" s="208" t="s">
        <v>1423</v>
      </c>
      <c r="V184" s="202" t="s">
        <v>1420</v>
      </c>
      <c r="W184" s="202">
        <v>7800</v>
      </c>
      <c r="X184" s="202">
        <v>100</v>
      </c>
      <c r="Y184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202">
        <v>100</v>
      </c>
      <c r="I185" s="204" t="s">
        <v>1417</v>
      </c>
      <c r="J185" s="202" t="s">
        <v>28</v>
      </c>
      <c r="K185" s="203" t="s">
        <v>29</v>
      </c>
      <c r="L185" s="214">
        <v>20000</v>
      </c>
      <c r="M185" s="208">
        <v>-4.0000000000000001E-3</v>
      </c>
      <c r="N185" s="266">
        <f>tblBD_PatronMasa1315[[#This Row],[Masa nominal mN                              (g)]]+(tblBD_PatronMasa1315[[#This Row],[Error certificado calibración δmc                  (mg)]])/1000</f>
        <v>19999.999995999999</v>
      </c>
      <c r="O185" s="206">
        <v>8.7999999999999995E-2</v>
      </c>
      <c r="P185" s="208">
        <f>tblBD_PatronMasa1315[[#This Row],[mpe]]/3</f>
        <v>0.33333333333333331</v>
      </c>
      <c r="Q185" s="209">
        <f>tblBD_PatronMasa1315[[#This Row],[Deriva D D&lt;=mpe/3]]/SQRT(3)</f>
        <v>0.19245008972987526</v>
      </c>
      <c r="R185" s="208"/>
      <c r="S185" s="209">
        <v>1</v>
      </c>
      <c r="T185" s="210">
        <v>45047</v>
      </c>
      <c r="U185" s="208" t="s">
        <v>1423</v>
      </c>
      <c r="V185" s="202" t="s">
        <v>1420</v>
      </c>
      <c r="W185" s="202">
        <v>7800</v>
      </c>
      <c r="X185" s="202">
        <v>100</v>
      </c>
      <c r="Y185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202">
        <v>101</v>
      </c>
      <c r="I186" s="204" t="s">
        <v>1418</v>
      </c>
      <c r="J186" s="202" t="s">
        <v>28</v>
      </c>
      <c r="K186" s="203" t="s">
        <v>29</v>
      </c>
      <c r="L186" s="214">
        <v>20000</v>
      </c>
      <c r="M186" s="208">
        <v>-4.0000000000000001E-3</v>
      </c>
      <c r="N186" s="266">
        <f>tblBD_PatronMasa1315[[#This Row],[Masa nominal mN                              (g)]]+(tblBD_PatronMasa1315[[#This Row],[Error certificado calibración δmc                  (mg)]])/1000</f>
        <v>19999.999995999999</v>
      </c>
      <c r="O186" s="206">
        <v>8.7999999999999995E-2</v>
      </c>
      <c r="P186" s="208">
        <f>tblBD_PatronMasa1315[[#This Row],[mpe]]/3</f>
        <v>0.33333333333333331</v>
      </c>
      <c r="Q186" s="209">
        <f>tblBD_PatronMasa1315[[#This Row],[Deriva D D&lt;=mpe/3]]/SQRT(3)</f>
        <v>0.19245008972987526</v>
      </c>
      <c r="R186" s="208"/>
      <c r="S186" s="209">
        <v>1</v>
      </c>
      <c r="T186" s="210">
        <v>45047</v>
      </c>
      <c r="U186" s="208" t="s">
        <v>1423</v>
      </c>
      <c r="V186" s="202" t="s">
        <v>1420</v>
      </c>
      <c r="W186" s="202">
        <v>7800</v>
      </c>
      <c r="X186" s="202">
        <v>100</v>
      </c>
      <c r="Y186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202">
        <v>102</v>
      </c>
      <c r="I187" s="204" t="s">
        <v>475</v>
      </c>
      <c r="J187" s="202" t="s">
        <v>478</v>
      </c>
      <c r="K187" s="203" t="s">
        <v>26</v>
      </c>
      <c r="L187" s="214">
        <v>100</v>
      </c>
      <c r="M187" s="208">
        <v>3.1399999999999999E-4</v>
      </c>
      <c r="N187" s="266">
        <f>tblBD_PatronMasa1315[[#This Row],[Masa nominal mN                              (g)]]+(tblBD_PatronMasa1315[[#This Row],[Error certificado calibración δmc                  (mg)]])/1000</f>
        <v>100.000000314</v>
      </c>
      <c r="O187" s="206">
        <v>1.1900000000000001E-4</v>
      </c>
      <c r="P187" s="208">
        <f>tblBD_PatronMasa1315[[#This Row],[mpe]]/3</f>
        <v>1.6666666666666666E-4</v>
      </c>
      <c r="Q187" s="209">
        <f>tblBD_PatronMasa1315[[#This Row],[Deriva D D&lt;=mpe/3]]/SQRT(3)</f>
        <v>9.6225044864937633E-5</v>
      </c>
      <c r="R187" s="208"/>
      <c r="S187" s="209">
        <v>5.0000000000000001E-4</v>
      </c>
      <c r="T187" s="210">
        <v>45127</v>
      </c>
      <c r="U187" s="208" t="s">
        <v>1424</v>
      </c>
      <c r="V187" s="202" t="s">
        <v>38</v>
      </c>
      <c r="W187" s="202">
        <v>7950</v>
      </c>
      <c r="X187" s="202">
        <v>70</v>
      </c>
      <c r="Y187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202">
        <v>103</v>
      </c>
      <c r="I188" s="204" t="s">
        <v>476</v>
      </c>
      <c r="J188" s="202" t="s">
        <v>478</v>
      </c>
      <c r="K188" s="203" t="s">
        <v>26</v>
      </c>
      <c r="L188" s="214">
        <v>50</v>
      </c>
      <c r="M188" s="208">
        <v>1.27E-4</v>
      </c>
      <c r="N188" s="266">
        <f>tblBD_PatronMasa1315[[#This Row],[Masa nominal mN                              (g)]]+(tblBD_PatronMasa1315[[#This Row],[Error certificado calibración δmc                  (mg)]])/1000</f>
        <v>50.000000127</v>
      </c>
      <c r="O188" s="206">
        <v>6.0999999999999999E-5</v>
      </c>
      <c r="P188" s="208">
        <f>tblBD_PatronMasa1315[[#This Row],[mpe]]/3</f>
        <v>9.9999999999999991E-5</v>
      </c>
      <c r="Q188" s="209">
        <f>tblBD_PatronMasa1315[[#This Row],[Deriva D D&lt;=mpe/3]]/SQRT(3)</f>
        <v>5.7735026918962572E-5</v>
      </c>
      <c r="R188" s="208"/>
      <c r="S188" s="209">
        <v>2.9999999999999997E-4</v>
      </c>
      <c r="T188" s="210">
        <v>45127</v>
      </c>
      <c r="U188" s="208" t="s">
        <v>1424</v>
      </c>
      <c r="V188" s="202" t="s">
        <v>38</v>
      </c>
      <c r="W188" s="202">
        <v>7950</v>
      </c>
      <c r="X188" s="202">
        <v>70</v>
      </c>
      <c r="Y188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202">
        <v>104</v>
      </c>
      <c r="I189" s="204" t="s">
        <v>479</v>
      </c>
      <c r="J189" s="202" t="s">
        <v>478</v>
      </c>
      <c r="K189" s="203" t="s">
        <v>26</v>
      </c>
      <c r="L189" s="214">
        <v>10000</v>
      </c>
      <c r="M189" s="208">
        <v>-8.9999999999999993E-3</v>
      </c>
      <c r="N189" s="266">
        <f>tblBD_PatronMasa1315[[#This Row],[Masa nominal mN                              (g)]]+(tblBD_PatronMasa1315[[#This Row],[Error certificado calibración δmc                  (mg)]])/1000</f>
        <v>9999.9999910000006</v>
      </c>
      <c r="O189" s="206">
        <v>1.4999999999999999E-2</v>
      </c>
      <c r="P189" s="208">
        <f>tblBD_PatronMasa1315[[#This Row],[mpe]]/3</f>
        <v>1.6666666666666666E-2</v>
      </c>
      <c r="Q189" s="209">
        <f>tblBD_PatronMasa1315[[#This Row],[Deriva D D&lt;=mpe/3]]/SQRT(3)</f>
        <v>9.6225044864937624E-3</v>
      </c>
      <c r="R189" s="208"/>
      <c r="S189" s="209">
        <v>0.05</v>
      </c>
      <c r="T189" s="210">
        <v>45128</v>
      </c>
      <c r="U189" s="208" t="s">
        <v>1425</v>
      </c>
      <c r="V189" s="202" t="s">
        <v>38</v>
      </c>
      <c r="W189" s="202">
        <v>7950</v>
      </c>
      <c r="X189" s="202">
        <v>70</v>
      </c>
      <c r="Y189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202">
        <v>105</v>
      </c>
      <c r="I190" s="204" t="s">
        <v>477</v>
      </c>
      <c r="J190" s="202" t="s">
        <v>478</v>
      </c>
      <c r="K190" s="203" t="s">
        <v>26</v>
      </c>
      <c r="L190" s="214">
        <v>20000</v>
      </c>
      <c r="M190" s="208">
        <v>-1.9E-2</v>
      </c>
      <c r="N190" s="266">
        <f>tblBD_PatronMasa1315[[#This Row],[Masa nominal mN                              (g)]]+(tblBD_PatronMasa1315[[#This Row],[Error certificado calibración δmc                  (mg)]])/1000</f>
        <v>19999.999981000001</v>
      </c>
      <c r="O190" s="206">
        <v>0.03</v>
      </c>
      <c r="P190" s="208">
        <f>tblBD_PatronMasa1315[[#This Row],[mpe]]/3</f>
        <v>3.3333333333333333E-2</v>
      </c>
      <c r="Q190" s="209">
        <f>tblBD_PatronMasa1315[[#This Row],[Deriva D D&lt;=mpe/3]]/SQRT(3)</f>
        <v>1.9245008972987525E-2</v>
      </c>
      <c r="R190" s="208"/>
      <c r="S190" s="209">
        <v>0.1</v>
      </c>
      <c r="T190" s="210">
        <v>45125</v>
      </c>
      <c r="U190" s="208" t="s">
        <v>1426</v>
      </c>
      <c r="V190" s="202" t="s">
        <v>38</v>
      </c>
      <c r="W190" s="202">
        <v>7950</v>
      </c>
      <c r="X190" s="202">
        <v>70</v>
      </c>
      <c r="Y190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202">
        <v>106</v>
      </c>
      <c r="I191" s="204" t="s">
        <v>748</v>
      </c>
      <c r="J191" s="202" t="s">
        <v>28</v>
      </c>
      <c r="K191" s="203" t="s">
        <v>29</v>
      </c>
      <c r="L191" s="214">
        <v>10000</v>
      </c>
      <c r="M191" s="208">
        <v>-3.0000000000000001E-3</v>
      </c>
      <c r="N191" s="266">
        <f>tblBD_PatronMasa1315[[#This Row],[Masa nominal mN                              (g)]]+(tblBD_PatronMasa1315[[#This Row],[Error certificado calibración δmc                  (mg)]])/1000</f>
        <v>9999.9999970000008</v>
      </c>
      <c r="O191" s="206">
        <v>8.3000000000000004E-2</v>
      </c>
      <c r="P191" s="208">
        <f>tblBD_PatronMasa1315[[#This Row],[mpe]]/3</f>
        <v>0.16666666666666666</v>
      </c>
      <c r="Q191" s="209">
        <f>tblBD_PatronMasa1315[[#This Row],[Deriva D D&lt;=mpe/3]]/SQRT(3)</f>
        <v>9.6225044864937631E-2</v>
      </c>
      <c r="R191" s="208"/>
      <c r="S191" s="209">
        <v>0.5</v>
      </c>
      <c r="T191" s="210">
        <v>45047</v>
      </c>
      <c r="U191" s="208" t="s">
        <v>1423</v>
      </c>
      <c r="V191" s="202" t="s">
        <v>1420</v>
      </c>
      <c r="W191" s="202">
        <v>7800</v>
      </c>
      <c r="X191" s="202">
        <v>100</v>
      </c>
      <c r="Y191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202">
        <v>107</v>
      </c>
      <c r="I192" s="204" t="s">
        <v>741</v>
      </c>
      <c r="J192" s="202" t="s">
        <v>478</v>
      </c>
      <c r="K192" s="203" t="s">
        <v>26</v>
      </c>
      <c r="L192" s="214">
        <v>500</v>
      </c>
      <c r="M192" s="208">
        <v>2.03E-4</v>
      </c>
      <c r="N192" s="266">
        <f>tblBD_PatronMasa1315[[#This Row],[Masa nominal mN                              (g)]]+(tblBD_PatronMasa1315[[#This Row],[Error certificado calibración δmc                  (mg)]])/1000</f>
        <v>500.00000020300001</v>
      </c>
      <c r="O192" s="206">
        <v>5.9000000000000003E-4</v>
      </c>
      <c r="P192" s="208">
        <f>tblBD_PatronMasa1315[[#This Row],[mpe]]/3</f>
        <v>8.3333333333333339E-4</v>
      </c>
      <c r="Q192" s="209">
        <f>tblBD_PatronMasa1315[[#This Row],[Deriva D D&lt;=mpe/3]]/SQRT(3)</f>
        <v>4.8112522432468822E-4</v>
      </c>
      <c r="R192" s="208"/>
      <c r="S192" s="209">
        <v>2.5000000000000001E-3</v>
      </c>
      <c r="T192" s="210">
        <v>45127</v>
      </c>
      <c r="U192" s="208" t="s">
        <v>1424</v>
      </c>
      <c r="V192" s="202" t="s">
        <v>38</v>
      </c>
      <c r="W192" s="202">
        <v>7950</v>
      </c>
      <c r="X192" s="202">
        <v>70</v>
      </c>
      <c r="Y192" s="202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279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202">
        <v>108</v>
      </c>
      <c r="I193" s="204"/>
      <c r="J193" s="202"/>
      <c r="K193" s="203"/>
      <c r="L193" s="214"/>
      <c r="M193" s="208"/>
      <c r="N193" s="266">
        <f>tblBD_PatronMasa131521[[#This Row],[Masa nominal mN                              (g)]]+(tblBD_PatronMasa131521[[#This Row],[Error certificado calibración δmc                  (mg)]])/1000</f>
        <v>0</v>
      </c>
      <c r="O193" s="206"/>
      <c r="P193" s="208"/>
      <c r="Q193" s="209"/>
      <c r="R193" s="208"/>
      <c r="S193" s="209"/>
      <c r="T193" s="210"/>
      <c r="U193" s="208"/>
      <c r="V193" s="202"/>
      <c r="W193" s="202"/>
      <c r="X193" s="202"/>
      <c r="Y193" s="202"/>
      <c r="Z193" s="279"/>
    </row>
    <row r="194" spans="8:26" x14ac:dyDescent="0.25">
      <c r="H194" s="202">
        <v>109</v>
      </c>
      <c r="I194" s="204"/>
      <c r="J194" s="202"/>
      <c r="K194" s="203"/>
      <c r="L194" s="214"/>
      <c r="M194" s="208"/>
      <c r="N194" s="266">
        <f>tblBD_PatronMasa131521[[#This Row],[Masa nominal mN                              (g)]]+(tblBD_PatronMasa131521[[#This Row],[Error certificado calibración δmc                  (mg)]])/1000</f>
        <v>0</v>
      </c>
      <c r="O194" s="206"/>
      <c r="P194" s="208"/>
      <c r="Q194" s="209"/>
      <c r="R194" s="208"/>
      <c r="S194" s="209"/>
      <c r="T194" s="210"/>
      <c r="U194" s="208"/>
      <c r="V194" s="202"/>
      <c r="W194" s="202"/>
      <c r="X194" s="202"/>
      <c r="Y194" s="202"/>
      <c r="Z194" s="279"/>
    </row>
    <row r="195" spans="8:26" x14ac:dyDescent="0.25">
      <c r="H195" s="202">
        <v>110</v>
      </c>
      <c r="I195" s="204"/>
      <c r="J195" s="202"/>
      <c r="K195" s="203"/>
      <c r="L195" s="214"/>
      <c r="M195" s="208"/>
      <c r="N195" s="266">
        <f>tblBD_PatronMasa131521[[#This Row],[Masa nominal mN                              (g)]]+(tblBD_PatronMasa131521[[#This Row],[Error certificado calibración δmc                  (mg)]])/1000</f>
        <v>0</v>
      </c>
      <c r="O195" s="206"/>
      <c r="P195" s="208"/>
      <c r="Q195" s="209"/>
      <c r="R195" s="208"/>
      <c r="S195" s="209"/>
      <c r="T195" s="210"/>
      <c r="U195" s="208"/>
      <c r="V195" s="202"/>
      <c r="W195" s="202"/>
      <c r="X195" s="202"/>
      <c r="Y195" s="202"/>
      <c r="Z195" s="279"/>
    </row>
    <row r="196" spans="8:26" x14ac:dyDescent="0.25">
      <c r="H196" s="202">
        <v>111</v>
      </c>
      <c r="I196" s="204"/>
      <c r="J196" s="202"/>
      <c r="K196" s="203"/>
      <c r="L196" s="214"/>
      <c r="M196" s="208"/>
      <c r="N196" s="266">
        <f>tblBD_PatronMasa131521[[#This Row],[Masa nominal mN                              (g)]]+(tblBD_PatronMasa131521[[#This Row],[Error certificado calibración δmc                  (mg)]])/1000</f>
        <v>0</v>
      </c>
      <c r="O196" s="206"/>
      <c r="P196" s="208"/>
      <c r="Q196" s="209"/>
      <c r="R196" s="208"/>
      <c r="S196" s="209"/>
      <c r="T196" s="210"/>
      <c r="U196" s="208"/>
      <c r="V196" s="202"/>
      <c r="W196" s="202"/>
      <c r="X196" s="202"/>
      <c r="Y196" s="202"/>
      <c r="Z196" s="279"/>
    </row>
    <row r="197" spans="8:26" x14ac:dyDescent="0.25">
      <c r="H197" s="202">
        <v>112</v>
      </c>
      <c r="I197" s="204"/>
      <c r="J197" s="202"/>
      <c r="K197" s="203"/>
      <c r="L197" s="214"/>
      <c r="M197" s="208"/>
      <c r="N197" s="266">
        <f>tblBD_PatronMasa131521[[#This Row],[Masa nominal mN                              (g)]]+(tblBD_PatronMasa131521[[#This Row],[Error certificado calibración δmc                  (mg)]])/1000</f>
        <v>0</v>
      </c>
      <c r="O197" s="206"/>
      <c r="P197" s="208"/>
      <c r="Q197" s="209"/>
      <c r="R197" s="208"/>
      <c r="S197" s="209"/>
      <c r="T197" s="210"/>
      <c r="U197" s="208"/>
      <c r="V197" s="202"/>
      <c r="W197" s="202"/>
      <c r="X197" s="202"/>
      <c r="Y197" s="202"/>
      <c r="Z197" s="279"/>
    </row>
    <row r="198" spans="8:26" x14ac:dyDescent="0.25">
      <c r="H198" s="202">
        <v>113</v>
      </c>
      <c r="I198" s="204"/>
      <c r="J198" s="202"/>
      <c r="K198" s="203"/>
      <c r="L198" s="214"/>
      <c r="M198" s="208"/>
      <c r="N198" s="266">
        <f>tblBD_PatronMasa131521[[#This Row],[Masa nominal mN                              (g)]]+(tblBD_PatronMasa131521[[#This Row],[Error certificado calibración δmc                  (mg)]])/1000</f>
        <v>0</v>
      </c>
      <c r="O198" s="206"/>
      <c r="P198" s="208"/>
      <c r="Q198" s="209"/>
      <c r="R198" s="208"/>
      <c r="S198" s="209"/>
      <c r="T198" s="210"/>
      <c r="U198" s="208"/>
      <c r="V198" s="202"/>
      <c r="W198" s="202"/>
      <c r="X198" s="202"/>
      <c r="Y198" s="202"/>
      <c r="Z198" s="279"/>
    </row>
    <row r="199" spans="8:26" x14ac:dyDescent="0.25">
      <c r="H199" s="202">
        <v>114</v>
      </c>
      <c r="I199" s="204"/>
      <c r="J199" s="202"/>
      <c r="K199" s="203"/>
      <c r="L199" s="214"/>
      <c r="M199" s="208"/>
      <c r="N199" s="266">
        <f>tblBD_PatronMasa131521[[#This Row],[Masa nominal mN                              (g)]]+(tblBD_PatronMasa131521[[#This Row],[Error certificado calibración δmc                  (mg)]])/1000</f>
        <v>0</v>
      </c>
      <c r="O199" s="206"/>
      <c r="P199" s="208"/>
      <c r="Q199" s="209"/>
      <c r="R199" s="208"/>
      <c r="S199" s="209"/>
      <c r="T199" s="210"/>
      <c r="U199" s="208"/>
      <c r="V199" s="202"/>
      <c r="W199" s="202"/>
      <c r="X199" s="202"/>
      <c r="Y199" s="202"/>
      <c r="Z199" s="279"/>
    </row>
    <row r="200" spans="8:26" x14ac:dyDescent="0.25">
      <c r="H200" s="202">
        <v>115</v>
      </c>
      <c r="I200" s="204"/>
      <c r="J200" s="202"/>
      <c r="K200" s="203"/>
      <c r="L200" s="214"/>
      <c r="M200" s="208"/>
      <c r="N200" s="266">
        <f>tblBD_PatronMasa131521[[#This Row],[Masa nominal mN                              (g)]]+(tblBD_PatronMasa131521[[#This Row],[Error certificado calibración δmc                  (mg)]])/1000</f>
        <v>0</v>
      </c>
      <c r="O200" s="206"/>
      <c r="P200" s="208"/>
      <c r="Q200" s="209"/>
      <c r="R200" s="208"/>
      <c r="S200" s="209"/>
      <c r="T200" s="210"/>
      <c r="U200" s="208"/>
      <c r="V200" s="202"/>
      <c r="W200" s="202"/>
      <c r="X200" s="202"/>
      <c r="Y200" s="202"/>
      <c r="Z200" s="279"/>
    </row>
    <row r="201" spans="8:26" x14ac:dyDescent="0.25">
      <c r="H201" s="202">
        <v>116</v>
      </c>
      <c r="I201" s="204"/>
      <c r="J201" s="202"/>
      <c r="K201" s="203"/>
      <c r="L201" s="214"/>
      <c r="M201" s="208"/>
      <c r="N201" s="266">
        <f>tblBD_PatronMasa131521[[#This Row],[Masa nominal mN                              (g)]]+(tblBD_PatronMasa131521[[#This Row],[Error certificado calibración δmc                  (mg)]])/1000</f>
        <v>0</v>
      </c>
      <c r="O201" s="206"/>
      <c r="P201" s="208"/>
      <c r="Q201" s="209"/>
      <c r="R201" s="208"/>
      <c r="S201" s="209"/>
      <c r="T201" s="210"/>
      <c r="U201" s="208"/>
      <c r="V201" s="202"/>
      <c r="W201" s="202"/>
      <c r="X201" s="202"/>
      <c r="Y201" s="202"/>
      <c r="Z201" s="279"/>
    </row>
    <row r="202" spans="8:26" x14ac:dyDescent="0.25">
      <c r="H202" s="202">
        <v>117</v>
      </c>
      <c r="I202" s="204"/>
      <c r="J202" s="202"/>
      <c r="K202" s="203"/>
      <c r="L202" s="214"/>
      <c r="M202" s="208"/>
      <c r="N202" s="266">
        <f>tblBD_PatronMasa131521[[#This Row],[Masa nominal mN                              (g)]]+(tblBD_PatronMasa131521[[#This Row],[Error certificado calibración δmc                  (mg)]])/1000</f>
        <v>0</v>
      </c>
      <c r="O202" s="206"/>
      <c r="P202" s="208"/>
      <c r="Q202" s="209"/>
      <c r="R202" s="208"/>
      <c r="S202" s="209"/>
      <c r="T202" s="210"/>
      <c r="U202" s="208"/>
      <c r="V202" s="202"/>
      <c r="W202" s="202"/>
      <c r="X202" s="202"/>
      <c r="Y202" s="202"/>
      <c r="Z202" s="279"/>
    </row>
    <row r="203" spans="8:26" x14ac:dyDescent="0.25">
      <c r="H203" s="202">
        <v>118</v>
      </c>
      <c r="I203" s="204"/>
      <c r="J203" s="202"/>
      <c r="K203" s="203"/>
      <c r="L203" s="214"/>
      <c r="M203" s="208"/>
      <c r="N203" s="266">
        <f>tblBD_PatronMasa131521[[#This Row],[Masa nominal mN                              (g)]]+(tblBD_PatronMasa131521[[#This Row],[Error certificado calibración δmc                  (mg)]])/1000</f>
        <v>0</v>
      </c>
      <c r="O203" s="206"/>
      <c r="P203" s="208"/>
      <c r="Q203" s="209"/>
      <c r="R203" s="208"/>
      <c r="S203" s="209"/>
      <c r="T203" s="210"/>
      <c r="U203" s="208"/>
      <c r="V203" s="202"/>
      <c r="W203" s="202"/>
      <c r="X203" s="202"/>
      <c r="Y203" s="202"/>
      <c r="Z203" s="279"/>
    </row>
    <row r="204" spans="8:26" x14ac:dyDescent="0.25">
      <c r="H204" s="202">
        <v>119</v>
      </c>
      <c r="I204" s="204"/>
      <c r="J204" s="202"/>
      <c r="K204" s="203"/>
      <c r="L204" s="214"/>
      <c r="M204" s="208"/>
      <c r="N204" s="266">
        <f>tblBD_PatronMasa131521[[#This Row],[Masa nominal mN                              (g)]]+(tblBD_PatronMasa131521[[#This Row],[Error certificado calibración δmc                  (mg)]])/1000</f>
        <v>0</v>
      </c>
      <c r="O204" s="206"/>
      <c r="P204" s="208"/>
      <c r="Q204" s="209"/>
      <c r="R204" s="208"/>
      <c r="S204" s="209"/>
      <c r="T204" s="210"/>
      <c r="U204" s="208"/>
      <c r="V204" s="202"/>
      <c r="W204" s="202"/>
      <c r="X204" s="202"/>
      <c r="Y204" s="202"/>
      <c r="Z204" s="279"/>
    </row>
    <row r="205" spans="8:26" x14ac:dyDescent="0.25">
      <c r="H205" s="202">
        <v>120</v>
      </c>
      <c r="I205" s="204"/>
      <c r="J205" s="202"/>
      <c r="K205" s="203"/>
      <c r="L205" s="214"/>
      <c r="M205" s="208"/>
      <c r="N205" s="266">
        <f>tblBD_PatronMasa131521[[#This Row],[Masa nominal mN                              (g)]]+(tblBD_PatronMasa131521[[#This Row],[Error certificado calibración δmc                  (mg)]])/1000</f>
        <v>0</v>
      </c>
      <c r="O205" s="206"/>
      <c r="P205" s="208"/>
      <c r="Q205" s="209"/>
      <c r="R205" s="208"/>
      <c r="S205" s="209"/>
      <c r="T205" s="210"/>
      <c r="U205" s="208"/>
      <c r="V205" s="202"/>
      <c r="W205" s="202"/>
      <c r="X205" s="202"/>
      <c r="Y205" s="202"/>
      <c r="Z205" s="279"/>
    </row>
    <row r="206" spans="8:26" x14ac:dyDescent="0.25">
      <c r="H206" s="202">
        <v>121</v>
      </c>
      <c r="I206" s="204"/>
      <c r="J206" s="202"/>
      <c r="K206" s="203"/>
      <c r="L206" s="214"/>
      <c r="M206" s="208"/>
      <c r="N206" s="266">
        <f>tblBD_PatronMasa131521[[#This Row],[Masa nominal mN                              (g)]]+(tblBD_PatronMasa131521[[#This Row],[Error certificado calibración δmc                  (mg)]])/1000</f>
        <v>0</v>
      </c>
      <c r="O206" s="206"/>
      <c r="P206" s="208"/>
      <c r="Q206" s="209"/>
      <c r="R206" s="208"/>
      <c r="S206" s="209"/>
      <c r="T206" s="210"/>
      <c r="U206" s="208"/>
      <c r="V206" s="202"/>
      <c r="W206" s="202"/>
      <c r="X206" s="202"/>
      <c r="Y206" s="202"/>
      <c r="Z206" s="279"/>
    </row>
    <row r="207" spans="8:26" x14ac:dyDescent="0.25">
      <c r="H207" s="202">
        <v>122</v>
      </c>
      <c r="I207" s="204"/>
      <c r="J207" s="202"/>
      <c r="K207" s="203"/>
      <c r="L207" s="214"/>
      <c r="M207" s="208"/>
      <c r="N207" s="266">
        <f>tblBD_PatronMasa131521[[#This Row],[Masa nominal mN                              (g)]]+(tblBD_PatronMasa131521[[#This Row],[Error certificado calibración δmc                  (mg)]])/1000</f>
        <v>0</v>
      </c>
      <c r="O207" s="206"/>
      <c r="P207" s="208"/>
      <c r="Q207" s="209"/>
      <c r="R207" s="208"/>
      <c r="S207" s="209"/>
      <c r="T207" s="210"/>
      <c r="U207" s="208"/>
      <c r="V207" s="202"/>
      <c r="W207" s="202"/>
      <c r="X207" s="202"/>
      <c r="Y207" s="202"/>
      <c r="Z207" s="279"/>
    </row>
    <row r="208" spans="8:26" x14ac:dyDescent="0.25">
      <c r="H208" s="202">
        <v>123</v>
      </c>
      <c r="I208" s="204"/>
      <c r="J208" s="202"/>
      <c r="K208" s="203"/>
      <c r="L208" s="214"/>
      <c r="M208" s="208"/>
      <c r="N208" s="266">
        <f>tblBD_PatronMasa131521[[#This Row],[Masa nominal mN                              (g)]]+(tblBD_PatronMasa131521[[#This Row],[Error certificado calibración δmc                  (mg)]])/1000</f>
        <v>0</v>
      </c>
      <c r="O208" s="206"/>
      <c r="P208" s="208"/>
      <c r="Q208" s="209"/>
      <c r="R208" s="208"/>
      <c r="S208" s="209"/>
      <c r="T208" s="210"/>
      <c r="U208" s="208"/>
      <c r="V208" s="202"/>
      <c r="W208" s="202"/>
      <c r="X208" s="202"/>
      <c r="Y208" s="202"/>
      <c r="Z208" s="279"/>
    </row>
    <row r="209" spans="8:26" x14ac:dyDescent="0.25">
      <c r="H209" s="202">
        <v>124</v>
      </c>
      <c r="I209" s="204"/>
      <c r="J209" s="202"/>
      <c r="K209" s="203"/>
      <c r="L209" s="214"/>
      <c r="M209" s="208"/>
      <c r="N209" s="266">
        <f>tblBD_PatronMasa131521[[#This Row],[Masa nominal mN                              (g)]]+(tblBD_PatronMasa131521[[#This Row],[Error certificado calibración δmc                  (mg)]])/1000</f>
        <v>0</v>
      </c>
      <c r="O209" s="206"/>
      <c r="P209" s="208"/>
      <c r="Q209" s="209"/>
      <c r="R209" s="208"/>
      <c r="S209" s="209"/>
      <c r="T209" s="210"/>
      <c r="U209" s="208"/>
      <c r="V209" s="202"/>
      <c r="W209" s="202"/>
      <c r="X209" s="202"/>
      <c r="Y209" s="202"/>
      <c r="Z209" s="279"/>
    </row>
    <row r="210" spans="8:26" x14ac:dyDescent="0.25">
      <c r="H210" s="202">
        <v>125</v>
      </c>
      <c r="I210" s="204"/>
      <c r="J210" s="202"/>
      <c r="K210" s="203"/>
      <c r="L210" s="214"/>
      <c r="M210" s="208"/>
      <c r="N210" s="266">
        <f>tblBD_PatronMasa131521[[#This Row],[Masa nominal mN                              (g)]]+(tblBD_PatronMasa131521[[#This Row],[Error certificado calibración δmc                  (mg)]])/1000</f>
        <v>0</v>
      </c>
      <c r="O210" s="206"/>
      <c r="P210" s="208"/>
      <c r="Q210" s="209"/>
      <c r="R210" s="208"/>
      <c r="S210" s="209"/>
      <c r="T210" s="210"/>
      <c r="U210" s="208"/>
      <c r="V210" s="202"/>
      <c r="W210" s="202"/>
      <c r="X210" s="202"/>
      <c r="Y210" s="202"/>
      <c r="Z210" s="279"/>
    </row>
    <row r="211" spans="8:26" x14ac:dyDescent="0.25">
      <c r="H211" s="202">
        <v>126</v>
      </c>
      <c r="I211" s="204"/>
      <c r="J211" s="202"/>
      <c r="K211" s="203"/>
      <c r="L211" s="214"/>
      <c r="M211" s="208"/>
      <c r="N211" s="266">
        <f>tblBD_PatronMasa131521[[#This Row],[Masa nominal mN                              (g)]]+(tblBD_PatronMasa131521[[#This Row],[Error certificado calibración δmc                  (mg)]])/1000</f>
        <v>0</v>
      </c>
      <c r="O211" s="206"/>
      <c r="P211" s="208"/>
      <c r="Q211" s="209"/>
      <c r="R211" s="208"/>
      <c r="S211" s="209"/>
      <c r="T211" s="210"/>
      <c r="U211" s="208"/>
      <c r="V211" s="202"/>
      <c r="W211" s="202"/>
      <c r="X211" s="202"/>
      <c r="Y211" s="202"/>
      <c r="Z211" s="279"/>
    </row>
    <row r="212" spans="8:26" x14ac:dyDescent="0.25">
      <c r="H212" s="202">
        <v>127</v>
      </c>
      <c r="I212" s="204"/>
      <c r="J212" s="202"/>
      <c r="K212" s="203"/>
      <c r="L212" s="214"/>
      <c r="M212" s="208"/>
      <c r="N212" s="266">
        <f>tblBD_PatronMasa131521[[#This Row],[Masa nominal mN                              (g)]]+(tblBD_PatronMasa131521[[#This Row],[Error certificado calibración δmc                  (mg)]])/1000</f>
        <v>0</v>
      </c>
      <c r="O212" s="206"/>
      <c r="P212" s="208"/>
      <c r="Q212" s="209"/>
      <c r="R212" s="208"/>
      <c r="S212" s="209"/>
      <c r="T212" s="210"/>
      <c r="U212" s="208"/>
      <c r="V212" s="202"/>
      <c r="W212" s="202"/>
      <c r="X212" s="202"/>
      <c r="Y212" s="202"/>
      <c r="Z212" s="279"/>
    </row>
    <row r="213" spans="8:26" x14ac:dyDescent="0.25">
      <c r="H213" s="202">
        <v>128</v>
      </c>
      <c r="I213" s="204"/>
      <c r="J213" s="202"/>
      <c r="K213" s="203"/>
      <c r="L213" s="214"/>
      <c r="M213" s="208"/>
      <c r="N213" s="266">
        <f>tblBD_PatronMasa131521[[#This Row],[Masa nominal mN                              (g)]]+(tblBD_PatronMasa131521[[#This Row],[Error certificado calibración δmc                  (mg)]])/1000</f>
        <v>0</v>
      </c>
      <c r="O213" s="206"/>
      <c r="P213" s="208"/>
      <c r="Q213" s="209"/>
      <c r="R213" s="208"/>
      <c r="S213" s="209"/>
      <c r="T213" s="210"/>
      <c r="U213" s="208"/>
      <c r="V213" s="202"/>
      <c r="W213" s="202"/>
      <c r="X213" s="202"/>
      <c r="Y213" s="202"/>
      <c r="Z213" s="279"/>
    </row>
    <row r="214" spans="8:26" x14ac:dyDescent="0.25">
      <c r="H214" s="202">
        <v>129</v>
      </c>
      <c r="I214" s="204"/>
      <c r="J214" s="202"/>
      <c r="K214" s="203"/>
      <c r="L214" s="214"/>
      <c r="M214" s="208"/>
      <c r="N214" s="266">
        <f>tblBD_PatronMasa131521[[#This Row],[Masa nominal mN                              (g)]]+(tblBD_PatronMasa131521[[#This Row],[Error certificado calibración δmc                  (mg)]])/1000</f>
        <v>0</v>
      </c>
      <c r="O214" s="206"/>
      <c r="P214" s="208"/>
      <c r="Q214" s="209"/>
      <c r="R214" s="208"/>
      <c r="S214" s="209"/>
      <c r="T214" s="210"/>
      <c r="U214" s="208"/>
      <c r="V214" s="202"/>
      <c r="W214" s="202"/>
      <c r="X214" s="202"/>
      <c r="Y214" s="202"/>
      <c r="Z214" s="279"/>
    </row>
    <row r="215" spans="8:26" x14ac:dyDescent="0.25">
      <c r="H215" s="202">
        <v>130</v>
      </c>
      <c r="I215" s="204"/>
      <c r="J215" s="202"/>
      <c r="K215" s="203"/>
      <c r="L215" s="214"/>
      <c r="M215" s="208"/>
      <c r="N215" s="266">
        <f>tblBD_PatronMasa131521[[#This Row],[Masa nominal mN                              (g)]]+(tblBD_PatronMasa131521[[#This Row],[Error certificado calibración δmc                  (mg)]])/1000</f>
        <v>0</v>
      </c>
      <c r="O215" s="206"/>
      <c r="P215" s="208"/>
      <c r="Q215" s="209"/>
      <c r="R215" s="208"/>
      <c r="S215" s="209"/>
      <c r="T215" s="210"/>
      <c r="U215" s="208"/>
      <c r="V215" s="202"/>
      <c r="W215" s="202"/>
      <c r="X215" s="202"/>
      <c r="Y215" s="202"/>
      <c r="Z215" s="279"/>
    </row>
    <row r="216" spans="8:26" x14ac:dyDescent="0.25">
      <c r="H216" s="202">
        <v>131</v>
      </c>
      <c r="I216" s="204"/>
      <c r="J216" s="202"/>
      <c r="K216" s="203"/>
      <c r="L216" s="214"/>
      <c r="M216" s="208"/>
      <c r="N216" s="266">
        <f>tblBD_PatronMasa131521[[#This Row],[Masa nominal mN                              (g)]]+(tblBD_PatronMasa131521[[#This Row],[Error certificado calibración δmc                  (mg)]])/1000</f>
        <v>0</v>
      </c>
      <c r="O216" s="206"/>
      <c r="P216" s="208"/>
      <c r="Q216" s="209"/>
      <c r="R216" s="208"/>
      <c r="S216" s="209"/>
      <c r="T216" s="210"/>
      <c r="U216" s="208"/>
      <c r="V216" s="202"/>
      <c r="W216" s="202"/>
      <c r="X216" s="202"/>
      <c r="Y216" s="202"/>
      <c r="Z216" s="279"/>
    </row>
    <row r="217" spans="8:26" x14ac:dyDescent="0.25">
      <c r="H217" s="202">
        <v>132</v>
      </c>
      <c r="I217" s="204"/>
      <c r="J217" s="202"/>
      <c r="K217" s="203"/>
      <c r="L217" s="214"/>
      <c r="M217" s="208"/>
      <c r="N217" s="266">
        <f>tblBD_PatronMasa131521[[#This Row],[Masa nominal mN                              (g)]]+(tblBD_PatronMasa131521[[#This Row],[Error certificado calibración δmc                  (mg)]])/1000</f>
        <v>0</v>
      </c>
      <c r="O217" s="206"/>
      <c r="P217" s="208"/>
      <c r="Q217" s="209"/>
      <c r="R217" s="208"/>
      <c r="S217" s="209"/>
      <c r="T217" s="210"/>
      <c r="U217" s="208"/>
      <c r="V217" s="202"/>
      <c r="W217" s="202"/>
      <c r="X217" s="202"/>
      <c r="Y217" s="202"/>
      <c r="Z217" s="279"/>
    </row>
    <row r="218" spans="8:26" x14ac:dyDescent="0.25">
      <c r="H218" s="202">
        <v>133</v>
      </c>
      <c r="I218" s="204"/>
      <c r="J218" s="202"/>
      <c r="K218" s="203"/>
      <c r="L218" s="214"/>
      <c r="M218" s="208"/>
      <c r="N218" s="266">
        <f>tblBD_PatronMasa131521[[#This Row],[Masa nominal mN                              (g)]]+(tblBD_PatronMasa131521[[#This Row],[Error certificado calibración δmc                  (mg)]])/1000</f>
        <v>0</v>
      </c>
      <c r="O218" s="206"/>
      <c r="P218" s="208"/>
      <c r="Q218" s="209"/>
      <c r="R218" s="208"/>
      <c r="S218" s="209"/>
      <c r="T218" s="210"/>
      <c r="U218" s="208"/>
      <c r="V218" s="202"/>
      <c r="W218" s="202"/>
      <c r="X218" s="202"/>
      <c r="Y218" s="202"/>
      <c r="Z218" s="279"/>
    </row>
    <row r="219" spans="8:26" x14ac:dyDescent="0.25">
      <c r="H219" s="202">
        <v>134</v>
      </c>
      <c r="I219" s="204"/>
      <c r="J219" s="202"/>
      <c r="K219" s="203"/>
      <c r="L219" s="214"/>
      <c r="M219" s="208"/>
      <c r="N219" s="266">
        <f>tblBD_PatronMasa131521[[#This Row],[Masa nominal mN                              (g)]]+(tblBD_PatronMasa131521[[#This Row],[Error certificado calibración δmc                  (mg)]])/1000</f>
        <v>0</v>
      </c>
      <c r="O219" s="206"/>
      <c r="P219" s="208"/>
      <c r="Q219" s="209"/>
      <c r="R219" s="208"/>
      <c r="S219" s="209"/>
      <c r="T219" s="210"/>
      <c r="U219" s="208"/>
      <c r="V219" s="202"/>
      <c r="W219" s="202"/>
      <c r="X219" s="202"/>
      <c r="Y219" s="202"/>
      <c r="Z219" s="279"/>
    </row>
    <row r="220" spans="8:26" x14ac:dyDescent="0.25">
      <c r="H220" s="202">
        <v>135</v>
      </c>
      <c r="I220" s="204"/>
      <c r="J220" s="202"/>
      <c r="K220" s="203"/>
      <c r="L220" s="214"/>
      <c r="M220" s="208"/>
      <c r="N220" s="266">
        <f>tblBD_PatronMasa131521[[#This Row],[Masa nominal mN                              (g)]]+(tblBD_PatronMasa131521[[#This Row],[Error certificado calibración δmc                  (mg)]])/1000</f>
        <v>0</v>
      </c>
      <c r="O220" s="206"/>
      <c r="P220" s="208"/>
      <c r="Q220" s="209"/>
      <c r="R220" s="208"/>
      <c r="S220" s="209"/>
      <c r="T220" s="210"/>
      <c r="U220" s="208"/>
      <c r="V220" s="202"/>
      <c r="W220" s="202"/>
      <c r="X220" s="202"/>
      <c r="Y220" s="202"/>
      <c r="Z220" s="279"/>
    </row>
    <row r="221" spans="8:26" x14ac:dyDescent="0.25">
      <c r="H221" s="202">
        <v>136</v>
      </c>
      <c r="I221" s="204"/>
      <c r="J221" s="202"/>
      <c r="K221" s="203"/>
      <c r="L221" s="214"/>
      <c r="M221" s="208"/>
      <c r="N221" s="266">
        <f>tblBD_PatronMasa131521[[#This Row],[Masa nominal mN                              (g)]]+(tblBD_PatronMasa131521[[#This Row],[Error certificado calibración δmc                  (mg)]])/1000</f>
        <v>0</v>
      </c>
      <c r="O221" s="206"/>
      <c r="P221" s="208"/>
      <c r="Q221" s="209"/>
      <c r="R221" s="208"/>
      <c r="S221" s="209"/>
      <c r="T221" s="210"/>
      <c r="U221" s="208"/>
      <c r="V221" s="202"/>
      <c r="W221" s="202"/>
      <c r="X221" s="202"/>
      <c r="Y221" s="202"/>
      <c r="Z221" s="279"/>
    </row>
    <row r="222" spans="8:26" x14ac:dyDescent="0.25">
      <c r="H222" s="202">
        <v>137</v>
      </c>
      <c r="I222" s="204"/>
      <c r="J222" s="202"/>
      <c r="K222" s="203"/>
      <c r="L222" s="214"/>
      <c r="M222" s="208"/>
      <c r="N222" s="266">
        <f>tblBD_PatronMasa131521[[#This Row],[Masa nominal mN                              (g)]]+(tblBD_PatronMasa131521[[#This Row],[Error certificado calibración δmc                  (mg)]])/1000</f>
        <v>0</v>
      </c>
      <c r="O222" s="206"/>
      <c r="P222" s="208"/>
      <c r="Q222" s="209"/>
      <c r="R222" s="208"/>
      <c r="S222" s="209"/>
      <c r="T222" s="210"/>
      <c r="U222" s="208"/>
      <c r="V222" s="202"/>
      <c r="W222" s="202"/>
      <c r="X222" s="202"/>
      <c r="Y222" s="202"/>
      <c r="Z222" s="279"/>
    </row>
    <row r="223" spans="8:26" x14ac:dyDescent="0.25">
      <c r="H223" s="202">
        <v>138</v>
      </c>
      <c r="I223" s="204"/>
      <c r="J223" s="202"/>
      <c r="K223" s="203"/>
      <c r="L223" s="214"/>
      <c r="M223" s="208"/>
      <c r="N223" s="266">
        <f>tblBD_PatronMasa131521[[#This Row],[Masa nominal mN                              (g)]]+(tblBD_PatronMasa131521[[#This Row],[Error certificado calibración δmc                  (mg)]])/1000</f>
        <v>0</v>
      </c>
      <c r="O223" s="206"/>
      <c r="P223" s="208"/>
      <c r="Q223" s="209"/>
      <c r="R223" s="208"/>
      <c r="S223" s="209"/>
      <c r="T223" s="210"/>
      <c r="U223" s="208"/>
      <c r="V223" s="202"/>
      <c r="W223" s="202"/>
      <c r="X223" s="202"/>
      <c r="Y223" s="202"/>
      <c r="Z223" s="279"/>
    </row>
    <row r="224" spans="8:26" x14ac:dyDescent="0.25">
      <c r="H224" s="202">
        <v>139</v>
      </c>
      <c r="I224" s="204"/>
      <c r="J224" s="202"/>
      <c r="K224" s="203"/>
      <c r="L224" s="214"/>
      <c r="M224" s="208"/>
      <c r="N224" s="266">
        <f>tblBD_PatronMasa131521[[#This Row],[Masa nominal mN                              (g)]]+(tblBD_PatronMasa131521[[#This Row],[Error certificado calibración δmc                  (mg)]])/1000</f>
        <v>0</v>
      </c>
      <c r="O224" s="206"/>
      <c r="P224" s="208"/>
      <c r="Q224" s="209"/>
      <c r="R224" s="208"/>
      <c r="S224" s="209"/>
      <c r="T224" s="210"/>
      <c r="U224" s="208"/>
      <c r="V224" s="202"/>
      <c r="W224" s="202"/>
      <c r="X224" s="202"/>
      <c r="Y224" s="202"/>
      <c r="Z224" s="279"/>
    </row>
    <row r="225" spans="8:26" x14ac:dyDescent="0.25">
      <c r="H225" s="202">
        <v>140</v>
      </c>
      <c r="I225" s="204"/>
      <c r="J225" s="202"/>
      <c r="K225" s="203"/>
      <c r="L225" s="214"/>
      <c r="M225" s="208"/>
      <c r="N225" s="266">
        <f>tblBD_PatronMasa131521[[#This Row],[Masa nominal mN                              (g)]]+(tblBD_PatronMasa131521[[#This Row],[Error certificado calibración δmc                  (mg)]])/1000</f>
        <v>0</v>
      </c>
      <c r="O225" s="206"/>
      <c r="P225" s="208"/>
      <c r="Q225" s="209"/>
      <c r="R225" s="208"/>
      <c r="S225" s="209"/>
      <c r="T225" s="210"/>
      <c r="U225" s="208"/>
      <c r="V225" s="202"/>
      <c r="W225" s="202"/>
      <c r="X225" s="202"/>
      <c r="Y225" s="202"/>
      <c r="Z225" s="279"/>
    </row>
    <row r="226" spans="8:26" x14ac:dyDescent="0.25">
      <c r="H226" s="202">
        <v>141</v>
      </c>
      <c r="I226" s="204"/>
      <c r="J226" s="202"/>
      <c r="K226" s="203"/>
      <c r="L226" s="214"/>
      <c r="M226" s="208"/>
      <c r="N226" s="266">
        <f>tblBD_PatronMasa131521[[#This Row],[Masa nominal mN                              (g)]]+(tblBD_PatronMasa131521[[#This Row],[Error certificado calibración δmc                  (mg)]])/1000</f>
        <v>0</v>
      </c>
      <c r="O226" s="206"/>
      <c r="P226" s="208"/>
      <c r="Q226" s="209"/>
      <c r="R226" s="208"/>
      <c r="S226" s="209"/>
      <c r="T226" s="210"/>
      <c r="U226" s="208"/>
      <c r="V226" s="202"/>
      <c r="W226" s="202"/>
      <c r="X226" s="202"/>
      <c r="Y226" s="202"/>
      <c r="Z226" s="279"/>
    </row>
    <row r="227" spans="8:26" x14ac:dyDescent="0.25">
      <c r="H227" s="202">
        <v>142</v>
      </c>
      <c r="I227" s="204"/>
      <c r="J227" s="202"/>
      <c r="K227" s="203"/>
      <c r="L227" s="214"/>
      <c r="M227" s="208"/>
      <c r="N227" s="266">
        <f>tblBD_PatronMasa131521[[#This Row],[Masa nominal mN                              (g)]]+(tblBD_PatronMasa131521[[#This Row],[Error certificado calibración δmc                  (mg)]])/1000</f>
        <v>0</v>
      </c>
      <c r="O227" s="206"/>
      <c r="P227" s="208"/>
      <c r="Q227" s="209"/>
      <c r="R227" s="208"/>
      <c r="S227" s="209"/>
      <c r="T227" s="210"/>
      <c r="U227" s="208"/>
      <c r="V227" s="202"/>
      <c r="W227" s="202"/>
      <c r="X227" s="202"/>
      <c r="Y227" s="202"/>
      <c r="Z227" s="279"/>
    </row>
    <row r="228" spans="8:26" x14ac:dyDescent="0.25">
      <c r="H228" s="202">
        <v>143</v>
      </c>
      <c r="I228" s="204"/>
      <c r="J228" s="202"/>
      <c r="K228" s="203"/>
      <c r="L228" s="214"/>
      <c r="M228" s="208"/>
      <c r="N228" s="266">
        <f>tblBD_PatronMasa131521[[#This Row],[Masa nominal mN                              (g)]]+(tblBD_PatronMasa131521[[#This Row],[Error certificado calibración δmc                  (mg)]])/1000</f>
        <v>0</v>
      </c>
      <c r="O228" s="206"/>
      <c r="P228" s="208"/>
      <c r="Q228" s="209"/>
      <c r="R228" s="208"/>
      <c r="S228" s="209"/>
      <c r="T228" s="210"/>
      <c r="U228" s="208"/>
      <c r="V228" s="202"/>
      <c r="W228" s="202"/>
      <c r="X228" s="202"/>
      <c r="Y228" s="202"/>
      <c r="Z228" s="279"/>
    </row>
    <row r="229" spans="8:26" x14ac:dyDescent="0.25">
      <c r="H229" s="202">
        <v>144</v>
      </c>
      <c r="I229" s="204"/>
      <c r="J229" s="202"/>
      <c r="K229" s="203"/>
      <c r="L229" s="214"/>
      <c r="M229" s="208"/>
      <c r="N229" s="266">
        <f>tblBD_PatronMasa131521[[#This Row],[Masa nominal mN                              (g)]]+(tblBD_PatronMasa131521[[#This Row],[Error certificado calibración δmc                  (mg)]])/1000</f>
        <v>0</v>
      </c>
      <c r="O229" s="206"/>
      <c r="P229" s="208"/>
      <c r="Q229" s="209"/>
      <c r="R229" s="208"/>
      <c r="S229" s="209"/>
      <c r="T229" s="210"/>
      <c r="U229" s="208"/>
      <c r="V229" s="202"/>
      <c r="W229" s="202"/>
      <c r="X229" s="202"/>
      <c r="Y229" s="202"/>
      <c r="Z229" s="279"/>
    </row>
    <row r="230" spans="8:26" x14ac:dyDescent="0.25">
      <c r="H230" s="202">
        <v>145</v>
      </c>
      <c r="I230" s="204"/>
      <c r="J230" s="202"/>
      <c r="K230" s="203"/>
      <c r="L230" s="214"/>
      <c r="M230" s="208"/>
      <c r="N230" s="266">
        <f>tblBD_PatronMasa131521[[#This Row],[Masa nominal mN                              (g)]]+(tblBD_PatronMasa131521[[#This Row],[Error certificado calibración δmc                  (mg)]])/1000</f>
        <v>0</v>
      </c>
      <c r="O230" s="206"/>
      <c r="P230" s="208"/>
      <c r="Q230" s="209"/>
      <c r="R230" s="208"/>
      <c r="S230" s="209"/>
      <c r="T230" s="210"/>
      <c r="U230" s="208"/>
      <c r="V230" s="202"/>
      <c r="W230" s="202"/>
      <c r="X230" s="202"/>
      <c r="Y230" s="202"/>
      <c r="Z230" s="279"/>
    </row>
    <row r="231" spans="8:26" x14ac:dyDescent="0.25">
      <c r="H231" s="202">
        <v>146</v>
      </c>
      <c r="I231" s="204"/>
      <c r="J231" s="202"/>
      <c r="K231" s="203"/>
      <c r="L231" s="214"/>
      <c r="M231" s="208"/>
      <c r="N231" s="266">
        <f>tblBD_PatronMasa131521[[#This Row],[Masa nominal mN                              (g)]]+(tblBD_PatronMasa131521[[#This Row],[Error certificado calibración δmc                  (mg)]])/1000</f>
        <v>0</v>
      </c>
      <c r="O231" s="206"/>
      <c r="P231" s="208"/>
      <c r="Q231" s="209"/>
      <c r="R231" s="208"/>
      <c r="S231" s="209"/>
      <c r="T231" s="210"/>
      <c r="U231" s="208"/>
      <c r="V231" s="202"/>
      <c r="W231" s="202"/>
      <c r="X231" s="202"/>
      <c r="Y231" s="202"/>
      <c r="Z231" s="279"/>
    </row>
    <row r="232" spans="8:26" x14ac:dyDescent="0.25">
      <c r="H232" s="202">
        <v>147</v>
      </c>
      <c r="I232" s="204"/>
      <c r="J232" s="202"/>
      <c r="K232" s="203"/>
      <c r="L232" s="214"/>
      <c r="M232" s="208"/>
      <c r="N232" s="266">
        <f>tblBD_PatronMasa131521[[#This Row],[Masa nominal mN                              (g)]]+(tblBD_PatronMasa131521[[#This Row],[Error certificado calibración δmc                  (mg)]])/1000</f>
        <v>0</v>
      </c>
      <c r="O232" s="206"/>
      <c r="P232" s="208"/>
      <c r="Q232" s="209"/>
      <c r="R232" s="208"/>
      <c r="S232" s="209"/>
      <c r="T232" s="210"/>
      <c r="U232" s="208"/>
      <c r="V232" s="202"/>
      <c r="W232" s="202"/>
      <c r="X232" s="202"/>
      <c r="Y232" s="202"/>
      <c r="Z232" s="279"/>
    </row>
    <row r="233" spans="8:26" x14ac:dyDescent="0.25">
      <c r="H233" s="202">
        <v>148</v>
      </c>
      <c r="I233" s="204"/>
      <c r="J233" s="202"/>
      <c r="K233" s="203"/>
      <c r="L233" s="214"/>
      <c r="M233" s="208"/>
      <c r="N233" s="266">
        <f>tblBD_PatronMasa131521[[#This Row],[Masa nominal mN                              (g)]]+(tblBD_PatronMasa131521[[#This Row],[Error certificado calibración δmc                  (mg)]])/1000</f>
        <v>0</v>
      </c>
      <c r="O233" s="206"/>
      <c r="P233" s="208"/>
      <c r="Q233" s="209"/>
      <c r="R233" s="208"/>
      <c r="S233" s="209"/>
      <c r="T233" s="210"/>
      <c r="U233" s="208"/>
      <c r="V233" s="202"/>
      <c r="W233" s="202"/>
      <c r="X233" s="202"/>
      <c r="Y233" s="202"/>
      <c r="Z233" s="279"/>
    </row>
    <row r="234" spans="8:26" x14ac:dyDescent="0.25">
      <c r="H234" s="202">
        <v>149</v>
      </c>
      <c r="I234" s="204"/>
      <c r="J234" s="202"/>
      <c r="K234" s="203"/>
      <c r="L234" s="214"/>
      <c r="M234" s="208"/>
      <c r="N234" s="266">
        <f>tblBD_PatronMasa131521[[#This Row],[Masa nominal mN                              (g)]]+(tblBD_PatronMasa131521[[#This Row],[Error certificado calibración δmc                  (mg)]])/1000</f>
        <v>0</v>
      </c>
      <c r="O234" s="206"/>
      <c r="P234" s="208"/>
      <c r="Q234" s="209"/>
      <c r="R234" s="208"/>
      <c r="S234" s="209"/>
      <c r="T234" s="210"/>
      <c r="U234" s="208"/>
      <c r="V234" s="202"/>
      <c r="W234" s="202"/>
      <c r="X234" s="202"/>
      <c r="Y234" s="202"/>
      <c r="Z234" s="279"/>
    </row>
    <row r="235" spans="8:26" x14ac:dyDescent="0.25">
      <c r="H235" s="202">
        <v>150</v>
      </c>
      <c r="I235" s="204"/>
      <c r="J235" s="202"/>
      <c r="K235" s="203"/>
      <c r="L235" s="214"/>
      <c r="M235" s="208"/>
      <c r="N235" s="266">
        <f>tblBD_PatronMasa131521[[#This Row],[Masa nominal mN                              (g)]]+(tblBD_PatronMasa131521[[#This Row],[Error certificado calibración δmc                  (mg)]])/1000</f>
        <v>0</v>
      </c>
      <c r="O235" s="206"/>
      <c r="P235" s="208"/>
      <c r="Q235" s="209"/>
      <c r="R235" s="208"/>
      <c r="S235" s="209"/>
      <c r="T235" s="210"/>
      <c r="U235" s="208"/>
      <c r="V235" s="202"/>
      <c r="W235" s="202"/>
      <c r="X235" s="202"/>
      <c r="Y235" s="202"/>
      <c r="Z235" s="279"/>
    </row>
    <row r="236" spans="8:26" x14ac:dyDescent="0.25">
      <c r="H236" s="202">
        <v>151</v>
      </c>
      <c r="I236" s="204"/>
      <c r="J236" s="202"/>
      <c r="K236" s="203"/>
      <c r="L236" s="214"/>
      <c r="M236" s="208"/>
      <c r="N236" s="266">
        <f>tblBD_PatronMasa131521[[#This Row],[Masa nominal mN                              (g)]]+(tblBD_PatronMasa131521[[#This Row],[Error certificado calibración δmc                  (mg)]])/1000</f>
        <v>0</v>
      </c>
      <c r="O236" s="206"/>
      <c r="P236" s="208"/>
      <c r="Q236" s="209"/>
      <c r="R236" s="208"/>
      <c r="S236" s="209"/>
      <c r="T236" s="210"/>
      <c r="U236" s="208"/>
      <c r="V236" s="202"/>
      <c r="W236" s="202"/>
      <c r="X236" s="202"/>
      <c r="Y236" s="202"/>
      <c r="Z236" s="279"/>
    </row>
    <row r="237" spans="8:26" x14ac:dyDescent="0.25">
      <c r="H237" s="202">
        <v>152</v>
      </c>
      <c r="I237" s="204"/>
      <c r="J237" s="202"/>
      <c r="K237" s="203"/>
      <c r="L237" s="214"/>
      <c r="M237" s="208"/>
      <c r="N237" s="266">
        <f>tblBD_PatronMasa131521[[#This Row],[Masa nominal mN                              (g)]]+(tblBD_PatronMasa131521[[#This Row],[Error certificado calibración δmc                  (mg)]])/1000</f>
        <v>0</v>
      </c>
      <c r="O237" s="206"/>
      <c r="P237" s="208"/>
      <c r="Q237" s="209"/>
      <c r="R237" s="208"/>
      <c r="S237" s="209"/>
      <c r="T237" s="210"/>
      <c r="U237" s="208"/>
      <c r="V237" s="202"/>
      <c r="W237" s="202"/>
      <c r="X237" s="202"/>
      <c r="Y237" s="202"/>
      <c r="Z237" s="279"/>
    </row>
    <row r="238" spans="8:26" x14ac:dyDescent="0.25">
      <c r="H238" s="202">
        <v>153</v>
      </c>
      <c r="I238" s="204"/>
      <c r="J238" s="202"/>
      <c r="K238" s="203"/>
      <c r="L238" s="214"/>
      <c r="M238" s="208"/>
      <c r="N238" s="266">
        <f>tblBD_PatronMasa131521[[#This Row],[Masa nominal mN                              (g)]]+(tblBD_PatronMasa131521[[#This Row],[Error certificado calibración δmc                  (mg)]])/1000</f>
        <v>0</v>
      </c>
      <c r="O238" s="206"/>
      <c r="P238" s="208"/>
      <c r="Q238" s="209"/>
      <c r="R238" s="208"/>
      <c r="S238" s="209"/>
      <c r="T238" s="210"/>
      <c r="U238" s="208"/>
      <c r="V238" s="202"/>
      <c r="W238" s="202"/>
      <c r="X238" s="202"/>
      <c r="Y238" s="202"/>
      <c r="Z238" s="279"/>
    </row>
    <row r="239" spans="8:26" x14ac:dyDescent="0.25">
      <c r="H239" s="202">
        <v>154</v>
      </c>
      <c r="I239" s="204"/>
      <c r="J239" s="202"/>
      <c r="K239" s="203"/>
      <c r="L239" s="214"/>
      <c r="M239" s="208"/>
      <c r="N239" s="266">
        <f>tblBD_PatronMasa131521[[#This Row],[Masa nominal mN                              (g)]]+(tblBD_PatronMasa131521[[#This Row],[Error certificado calibración δmc                  (mg)]])/1000</f>
        <v>0</v>
      </c>
      <c r="O239" s="206"/>
      <c r="P239" s="208"/>
      <c r="Q239" s="209"/>
      <c r="R239" s="208"/>
      <c r="S239" s="209"/>
      <c r="T239" s="210"/>
      <c r="U239" s="208"/>
      <c r="V239" s="202"/>
      <c r="W239" s="202"/>
      <c r="X239" s="202"/>
      <c r="Y239" s="202"/>
      <c r="Z239" s="279"/>
    </row>
    <row r="240" spans="8:26" x14ac:dyDescent="0.25">
      <c r="H240" s="202">
        <v>155</v>
      </c>
      <c r="I240" s="204"/>
      <c r="J240" s="202"/>
      <c r="K240" s="203"/>
      <c r="L240" s="214"/>
      <c r="M240" s="208"/>
      <c r="N240" s="266">
        <f>tblBD_PatronMasa131521[[#This Row],[Masa nominal mN                              (g)]]+(tblBD_PatronMasa131521[[#This Row],[Error certificado calibración δmc                  (mg)]])/1000</f>
        <v>0</v>
      </c>
      <c r="O240" s="206"/>
      <c r="P240" s="208"/>
      <c r="Q240" s="209"/>
      <c r="R240" s="208"/>
      <c r="S240" s="209"/>
      <c r="T240" s="210"/>
      <c r="U240" s="208"/>
      <c r="V240" s="202"/>
      <c r="W240" s="202"/>
      <c r="X240" s="202"/>
      <c r="Y240" s="202"/>
      <c r="Z240" s="279"/>
    </row>
    <row r="241" spans="8:26" x14ac:dyDescent="0.25">
      <c r="H241" s="202">
        <v>156</v>
      </c>
      <c r="I241" s="204"/>
      <c r="J241" s="202"/>
      <c r="K241" s="203"/>
      <c r="L241" s="214"/>
      <c r="M241" s="208"/>
      <c r="N241" s="266">
        <f>tblBD_PatronMasa131521[[#This Row],[Masa nominal mN                              (g)]]+(tblBD_PatronMasa131521[[#This Row],[Error certificado calibración δmc                  (mg)]])/1000</f>
        <v>0</v>
      </c>
      <c r="O241" s="206"/>
      <c r="P241" s="208"/>
      <c r="Q241" s="209"/>
      <c r="R241" s="208"/>
      <c r="S241" s="209"/>
      <c r="T241" s="210"/>
      <c r="U241" s="208"/>
      <c r="V241" s="202"/>
      <c r="W241" s="202"/>
      <c r="X241" s="202"/>
      <c r="Y241" s="202"/>
      <c r="Z241" s="279"/>
    </row>
    <row r="242" spans="8:26" x14ac:dyDescent="0.25">
      <c r="H242" s="202">
        <v>157</v>
      </c>
      <c r="I242" s="204"/>
      <c r="J242" s="202"/>
      <c r="K242" s="203"/>
      <c r="L242" s="214"/>
      <c r="M242" s="208"/>
      <c r="N242" s="266">
        <f>tblBD_PatronMasa131521[[#This Row],[Masa nominal mN                              (g)]]+(tblBD_PatronMasa131521[[#This Row],[Error certificado calibración δmc                  (mg)]])/1000</f>
        <v>0</v>
      </c>
      <c r="O242" s="206"/>
      <c r="P242" s="208"/>
      <c r="Q242" s="209"/>
      <c r="R242" s="208"/>
      <c r="S242" s="209"/>
      <c r="T242" s="210"/>
      <c r="U242" s="208"/>
      <c r="V242" s="202"/>
      <c r="W242" s="202"/>
      <c r="X242" s="202"/>
      <c r="Y242" s="202"/>
      <c r="Z242" s="279"/>
    </row>
    <row r="243" spans="8:26" x14ac:dyDescent="0.25">
      <c r="H243" s="202">
        <v>158</v>
      </c>
      <c r="I243" s="204"/>
      <c r="J243" s="202"/>
      <c r="K243" s="203"/>
      <c r="L243" s="214"/>
      <c r="M243" s="208"/>
      <c r="N243" s="266">
        <f>tblBD_PatronMasa131521[[#This Row],[Masa nominal mN                              (g)]]+(tblBD_PatronMasa131521[[#This Row],[Error certificado calibración δmc                  (mg)]])/1000</f>
        <v>0</v>
      </c>
      <c r="O243" s="206"/>
      <c r="P243" s="208"/>
      <c r="Q243" s="209"/>
      <c r="R243" s="208"/>
      <c r="S243" s="209"/>
      <c r="T243" s="210"/>
      <c r="U243" s="208"/>
      <c r="V243" s="202"/>
      <c r="W243" s="202"/>
      <c r="X243" s="202"/>
      <c r="Y243" s="202"/>
      <c r="Z243" s="279"/>
    </row>
    <row r="244" spans="8:26" x14ac:dyDescent="0.25">
      <c r="H244" s="202">
        <v>159</v>
      </c>
      <c r="I244" s="204"/>
      <c r="J244" s="202"/>
      <c r="K244" s="203"/>
      <c r="L244" s="214"/>
      <c r="M244" s="208"/>
      <c r="N244" s="266">
        <f>tblBD_PatronMasa131521[[#This Row],[Masa nominal mN                              (g)]]+(tblBD_PatronMasa131521[[#This Row],[Error certificado calibración δmc                  (mg)]])/1000</f>
        <v>0</v>
      </c>
      <c r="O244" s="206"/>
      <c r="P244" s="208"/>
      <c r="Q244" s="209"/>
      <c r="R244" s="208"/>
      <c r="S244" s="209"/>
      <c r="T244" s="210"/>
      <c r="U244" s="208"/>
      <c r="V244" s="202"/>
      <c r="W244" s="202"/>
      <c r="X244" s="202"/>
      <c r="Y244" s="202"/>
      <c r="Z244" s="279"/>
    </row>
    <row r="245" spans="8:26" x14ac:dyDescent="0.25">
      <c r="H245" s="202">
        <v>160</v>
      </c>
      <c r="I245" s="204"/>
      <c r="J245" s="202"/>
      <c r="K245" s="203"/>
      <c r="L245" s="214"/>
      <c r="M245" s="208"/>
      <c r="N245" s="266">
        <f>tblBD_PatronMasa131521[[#This Row],[Masa nominal mN                              (g)]]+(tblBD_PatronMasa131521[[#This Row],[Error certificado calibración δmc                  (mg)]])/1000</f>
        <v>0</v>
      </c>
      <c r="O245" s="206"/>
      <c r="P245" s="208"/>
      <c r="Q245" s="209"/>
      <c r="R245" s="208"/>
      <c r="S245" s="209"/>
      <c r="T245" s="210"/>
      <c r="U245" s="208"/>
      <c r="V245" s="202"/>
      <c r="W245" s="202"/>
      <c r="X245" s="202"/>
      <c r="Y245" s="202"/>
      <c r="Z245" s="279"/>
    </row>
    <row r="246" spans="8:26" x14ac:dyDescent="0.25">
      <c r="H246" s="202">
        <v>161</v>
      </c>
      <c r="I246" s="204"/>
      <c r="J246" s="202"/>
      <c r="K246" s="203"/>
      <c r="L246" s="214"/>
      <c r="M246" s="208"/>
      <c r="N246" s="266">
        <f>tblBD_PatronMasa131521[[#This Row],[Masa nominal mN                              (g)]]+(tblBD_PatronMasa131521[[#This Row],[Error certificado calibración δmc                  (mg)]])/1000</f>
        <v>0</v>
      </c>
      <c r="O246" s="206"/>
      <c r="P246" s="208"/>
      <c r="Q246" s="209"/>
      <c r="R246" s="208"/>
      <c r="S246" s="209"/>
      <c r="T246" s="210"/>
      <c r="U246" s="208"/>
      <c r="V246" s="202"/>
      <c r="W246" s="202"/>
      <c r="X246" s="202"/>
      <c r="Y246" s="202"/>
      <c r="Z246" s="279"/>
    </row>
    <row r="247" spans="8:26" x14ac:dyDescent="0.25">
      <c r="H247" s="202">
        <v>162</v>
      </c>
      <c r="I247" s="204"/>
      <c r="J247" s="202"/>
      <c r="K247" s="203"/>
      <c r="L247" s="214"/>
      <c r="M247" s="208"/>
      <c r="N247" s="266">
        <f>tblBD_PatronMasa131521[[#This Row],[Masa nominal mN                              (g)]]+(tblBD_PatronMasa131521[[#This Row],[Error certificado calibración δmc                  (mg)]])/1000</f>
        <v>0</v>
      </c>
      <c r="O247" s="206"/>
      <c r="P247" s="208"/>
      <c r="Q247" s="209"/>
      <c r="R247" s="208"/>
      <c r="S247" s="209"/>
      <c r="T247" s="210"/>
      <c r="U247" s="208"/>
      <c r="V247" s="202"/>
      <c r="W247" s="202"/>
      <c r="X247" s="202"/>
      <c r="Y247" s="202"/>
      <c r="Z247" s="279"/>
    </row>
    <row r="248" spans="8:26" x14ac:dyDescent="0.25">
      <c r="H248" s="280">
        <v>163</v>
      </c>
      <c r="I248" s="281"/>
      <c r="J248" s="280"/>
      <c r="K248" s="282"/>
      <c r="L248" s="283"/>
      <c r="M248" s="284"/>
      <c r="N248" s="266">
        <f>tblBD_PatronMasa131521[[#This Row],[Masa nominal mN                              (g)]]+(tblBD_PatronMasa131521[[#This Row],[Error certificado calibración δmc                  (mg)]])/1000</f>
        <v>0</v>
      </c>
      <c r="O248" s="285"/>
      <c r="P248" s="284"/>
      <c r="Q248" s="286"/>
      <c r="R248" s="284"/>
      <c r="S248" s="286"/>
      <c r="T248" s="287"/>
      <c r="U248" s="284"/>
      <c r="V248" s="280"/>
      <c r="W248" s="280"/>
      <c r="X248" s="280"/>
      <c r="Y248" s="280"/>
      <c r="Z248" s="288"/>
    </row>
    <row r="277" ht="20.25" customHeight="1" x14ac:dyDescent="0.25"/>
    <row r="295" spans="7:7" x14ac:dyDescent="0.25">
      <c r="G295" s="35"/>
    </row>
    <row r="296" spans="7:7" x14ac:dyDescent="0.25">
      <c r="G296" s="35"/>
    </row>
    <row r="297" spans="7:7" x14ac:dyDescent="0.25">
      <c r="G297" s="35"/>
    </row>
    <row r="298" spans="7:7" x14ac:dyDescent="0.25">
      <c r="G298" s="35"/>
    </row>
    <row r="299" spans="7:7" x14ac:dyDescent="0.25">
      <c r="G299" s="35"/>
    </row>
    <row r="300" spans="7:7" x14ac:dyDescent="0.25">
      <c r="G300" s="35"/>
    </row>
    <row r="301" spans="7:7" x14ac:dyDescent="0.25">
      <c r="G301" s="35"/>
    </row>
    <row r="313" spans="7:7" x14ac:dyDescent="0.25">
      <c r="G313" s="35"/>
    </row>
    <row r="314" spans="7:7" x14ac:dyDescent="0.25">
      <c r="G314" s="35"/>
    </row>
    <row r="315" spans="7:7" x14ac:dyDescent="0.25">
      <c r="G315" s="35"/>
    </row>
    <row r="316" spans="7:7" x14ac:dyDescent="0.25">
      <c r="G316" s="35"/>
    </row>
    <row r="317" spans="7:7" x14ac:dyDescent="0.25">
      <c r="G317" s="35"/>
    </row>
    <row r="323" spans="7:28" x14ac:dyDescent="0.25">
      <c r="H323" s="223">
        <v>1</v>
      </c>
      <c r="I323" s="175">
        <v>2</v>
      </c>
      <c r="J323" s="174">
        <v>3</v>
      </c>
      <c r="K323" s="174">
        <v>4</v>
      </c>
      <c r="L323" s="174">
        <v>5</v>
      </c>
      <c r="M323" s="174">
        <v>6</v>
      </c>
      <c r="N323" s="174">
        <v>7</v>
      </c>
      <c r="O323" s="174">
        <v>8</v>
      </c>
      <c r="P323" s="174">
        <v>9</v>
      </c>
    </row>
    <row r="324" spans="7:28" x14ac:dyDescent="0.25">
      <c r="H324" s="224" t="s">
        <v>23</v>
      </c>
      <c r="I324" s="224" t="s">
        <v>1</v>
      </c>
      <c r="J324" s="225" t="s">
        <v>0</v>
      </c>
      <c r="K324" s="226" t="s">
        <v>10</v>
      </c>
      <c r="L324" s="227" t="s">
        <v>2</v>
      </c>
      <c r="M324" s="224" t="s">
        <v>472</v>
      </c>
      <c r="N324" s="224" t="s">
        <v>109</v>
      </c>
      <c r="O324" s="228" t="s">
        <v>107</v>
      </c>
      <c r="P324" s="224" t="s">
        <v>82</v>
      </c>
      <c r="Q324" s="229"/>
      <c r="R324" s="689"/>
      <c r="S324" s="689"/>
      <c r="T324" s="689"/>
    </row>
    <row r="325" spans="7:28" x14ac:dyDescent="0.25">
      <c r="H325" s="230">
        <v>1</v>
      </c>
      <c r="I325" s="203" t="s">
        <v>28</v>
      </c>
      <c r="J325" s="203" t="s">
        <v>28</v>
      </c>
      <c r="K325" s="203" t="s">
        <v>28</v>
      </c>
      <c r="L325" s="203" t="s">
        <v>28</v>
      </c>
      <c r="M325" s="203" t="s">
        <v>28</v>
      </c>
      <c r="N325" s="203" t="s">
        <v>28</v>
      </c>
      <c r="O325" s="231" t="s">
        <v>28</v>
      </c>
      <c r="P325" s="203" t="s">
        <v>28</v>
      </c>
      <c r="Q325" s="232"/>
      <c r="R325" s="232"/>
      <c r="S325" s="232"/>
      <c r="T325" s="232"/>
    </row>
    <row r="326" spans="7:28" x14ac:dyDescent="0.25">
      <c r="H326" s="230">
        <v>2</v>
      </c>
      <c r="I326" s="203" t="s">
        <v>28</v>
      </c>
      <c r="J326" s="203" t="s">
        <v>28</v>
      </c>
      <c r="K326" s="203" t="s">
        <v>28</v>
      </c>
      <c r="L326" s="203" t="s">
        <v>28</v>
      </c>
      <c r="M326" s="203" t="s">
        <v>28</v>
      </c>
      <c r="N326" s="203" t="s">
        <v>28</v>
      </c>
      <c r="O326" s="231" t="s">
        <v>28</v>
      </c>
      <c r="P326" s="203" t="s">
        <v>28</v>
      </c>
      <c r="Q326" s="232"/>
      <c r="R326" s="232"/>
      <c r="S326" s="232"/>
      <c r="T326" s="232"/>
    </row>
    <row r="327" spans="7:28" ht="27.6" x14ac:dyDescent="0.25">
      <c r="G327" s="35"/>
      <c r="H327" s="420" t="str">
        <f>datos!H345</f>
        <v>NI-MCBAL-02</v>
      </c>
      <c r="I327" s="230" t="s">
        <v>104</v>
      </c>
      <c r="J327" s="233" t="s">
        <v>105</v>
      </c>
      <c r="K327" s="234" t="s">
        <v>106</v>
      </c>
      <c r="L327" s="235" t="s">
        <v>108</v>
      </c>
      <c r="M327" s="235">
        <v>0.1</v>
      </c>
      <c r="N327" s="235">
        <v>520</v>
      </c>
      <c r="O327" s="236">
        <v>43458</v>
      </c>
      <c r="P327" s="237" t="s">
        <v>742</v>
      </c>
      <c r="Q327" s="420">
        <v>3</v>
      </c>
      <c r="R327" s="238"/>
      <c r="S327" s="239"/>
      <c r="T327" s="239"/>
    </row>
    <row r="328" spans="7:28" ht="27.6" x14ac:dyDescent="0.25">
      <c r="G328" s="35"/>
      <c r="H328" s="182">
        <v>4</v>
      </c>
      <c r="I328" s="240" t="s">
        <v>91</v>
      </c>
      <c r="J328" s="230" t="s">
        <v>90</v>
      </c>
      <c r="K328" s="237" t="s">
        <v>110</v>
      </c>
      <c r="L328" s="235" t="s">
        <v>111</v>
      </c>
      <c r="M328" s="235">
        <v>100</v>
      </c>
      <c r="N328" s="235">
        <v>33000</v>
      </c>
      <c r="O328" s="236">
        <v>43458</v>
      </c>
      <c r="P328" s="237" t="s">
        <v>743</v>
      </c>
      <c r="Q328" s="241"/>
      <c r="R328" s="238"/>
      <c r="S328" s="239"/>
      <c r="T328" s="239"/>
    </row>
    <row r="329" spans="7:28" x14ac:dyDescent="0.25">
      <c r="G329" s="35"/>
      <c r="H329" s="182">
        <v>5</v>
      </c>
      <c r="I329" s="182"/>
      <c r="J329" s="182"/>
      <c r="K329" s="182"/>
      <c r="L329" s="182"/>
      <c r="M329" s="182"/>
      <c r="N329" s="182"/>
      <c r="O329" s="182"/>
      <c r="P329" s="182"/>
    </row>
    <row r="330" spans="7:28" ht="20.25" customHeight="1" x14ac:dyDescent="0.25">
      <c r="G330" s="35"/>
      <c r="H330" s="182">
        <v>6</v>
      </c>
      <c r="I330" s="182"/>
      <c r="J330" s="182"/>
      <c r="K330" s="182"/>
      <c r="L330" s="182"/>
      <c r="M330" s="182"/>
      <c r="N330" s="182"/>
      <c r="O330" s="182"/>
      <c r="P330" s="182"/>
    </row>
    <row r="331" spans="7:28" x14ac:dyDescent="0.25">
      <c r="G331" s="35"/>
    </row>
    <row r="332" spans="7:28" x14ac:dyDescent="0.25">
      <c r="G332" s="35"/>
      <c r="I332" s="420" t="str">
        <f>datos!I345</f>
        <v>NI-MCPPT-06</v>
      </c>
    </row>
    <row r="333" spans="7:28" x14ac:dyDescent="0.25">
      <c r="G333" s="35"/>
      <c r="I333" s="175" t="s">
        <v>113</v>
      </c>
      <c r="Y333" s="420">
        <v>1</v>
      </c>
    </row>
    <row r="334" spans="7:28" ht="13.95" customHeight="1" x14ac:dyDescent="0.25">
      <c r="N334" s="690" t="s">
        <v>14</v>
      </c>
      <c r="O334" s="691"/>
      <c r="P334" s="690" t="s">
        <v>15</v>
      </c>
      <c r="Q334" s="691"/>
      <c r="R334" s="692" t="s">
        <v>17</v>
      </c>
      <c r="S334" s="694" t="s">
        <v>82</v>
      </c>
      <c r="T334" s="694"/>
      <c r="U334" s="694"/>
      <c r="X334" s="224" t="s">
        <v>23</v>
      </c>
      <c r="Y334" s="224" t="s">
        <v>1</v>
      </c>
      <c r="Z334" s="224" t="s">
        <v>10</v>
      </c>
      <c r="AA334" s="224" t="s">
        <v>332</v>
      </c>
      <c r="AB334" s="224" t="s">
        <v>333</v>
      </c>
    </row>
    <row r="335" spans="7:28" ht="16.2" x14ac:dyDescent="0.25">
      <c r="H335" s="224" t="s">
        <v>23</v>
      </c>
      <c r="I335" s="224" t="s">
        <v>1</v>
      </c>
      <c r="J335" s="224" t="s">
        <v>10</v>
      </c>
      <c r="K335" s="224" t="s">
        <v>539</v>
      </c>
      <c r="L335" s="224" t="s">
        <v>540</v>
      </c>
      <c r="M335" s="224" t="s">
        <v>44</v>
      </c>
      <c r="N335" s="224" t="s">
        <v>541</v>
      </c>
      <c r="O335" s="224" t="s">
        <v>21</v>
      </c>
      <c r="P335" s="224" t="s">
        <v>542</v>
      </c>
      <c r="Q335" s="224" t="s">
        <v>39</v>
      </c>
      <c r="R335" s="693"/>
      <c r="S335" s="692"/>
      <c r="T335" s="692"/>
      <c r="U335" s="692"/>
      <c r="X335" s="202">
        <v>1</v>
      </c>
      <c r="Y335" s="203" t="s">
        <v>8</v>
      </c>
      <c r="Z335" s="203"/>
      <c r="AA335" s="203">
        <v>1100</v>
      </c>
      <c r="AB335" s="203">
        <v>100</v>
      </c>
    </row>
    <row r="336" spans="7:28" x14ac:dyDescent="0.25">
      <c r="H336" s="202">
        <v>1</v>
      </c>
      <c r="I336" s="501" t="s">
        <v>8</v>
      </c>
      <c r="J336" s="501" t="s">
        <v>12</v>
      </c>
      <c r="K336" s="501">
        <v>60</v>
      </c>
      <c r="L336" s="501">
        <v>0.1</v>
      </c>
      <c r="M336" s="501">
        <v>0.1</v>
      </c>
      <c r="N336" s="501">
        <v>0.5</v>
      </c>
      <c r="O336" s="501">
        <v>2.5</v>
      </c>
      <c r="P336" s="501">
        <v>0.3</v>
      </c>
      <c r="Q336" s="502">
        <v>1.3</v>
      </c>
      <c r="R336" s="503">
        <v>43427</v>
      </c>
      <c r="S336" s="504" t="s">
        <v>737</v>
      </c>
      <c r="T336" s="505"/>
      <c r="U336" s="506"/>
      <c r="X336" s="202">
        <v>2</v>
      </c>
      <c r="Y336" s="203" t="s">
        <v>9</v>
      </c>
      <c r="Z336" s="203"/>
      <c r="AA336" s="203"/>
      <c r="AB336" s="203">
        <v>2</v>
      </c>
    </row>
    <row r="337" spans="8:28" x14ac:dyDescent="0.25">
      <c r="H337" s="202">
        <v>2</v>
      </c>
      <c r="I337" s="501" t="s">
        <v>9</v>
      </c>
      <c r="J337" s="501" t="s">
        <v>13</v>
      </c>
      <c r="K337" s="501">
        <v>50</v>
      </c>
      <c r="L337" s="501">
        <v>0.1</v>
      </c>
      <c r="M337" s="501">
        <v>0.1</v>
      </c>
      <c r="N337" s="501">
        <v>0.5</v>
      </c>
      <c r="O337" s="501">
        <v>3</v>
      </c>
      <c r="P337" s="501">
        <v>0.4</v>
      </c>
      <c r="Q337" s="501">
        <v>2.7</v>
      </c>
      <c r="R337" s="507">
        <v>43600</v>
      </c>
      <c r="S337" s="501" t="s">
        <v>750</v>
      </c>
      <c r="T337" s="501"/>
      <c r="U337" s="501"/>
      <c r="X337" s="202">
        <v>3</v>
      </c>
      <c r="Y337" s="203" t="s">
        <v>11</v>
      </c>
      <c r="Z337" s="203"/>
      <c r="AA337" s="203"/>
      <c r="AB337" s="203">
        <v>3</v>
      </c>
    </row>
    <row r="338" spans="8:28" x14ac:dyDescent="0.25">
      <c r="H338" s="202">
        <v>3</v>
      </c>
      <c r="I338" s="509" t="s">
        <v>739</v>
      </c>
      <c r="J338" s="509" t="s">
        <v>740</v>
      </c>
      <c r="K338" s="509">
        <v>60</v>
      </c>
      <c r="L338" s="509">
        <v>0.1</v>
      </c>
      <c r="M338" s="509">
        <v>0.1</v>
      </c>
      <c r="N338" s="509">
        <v>0.8</v>
      </c>
      <c r="O338" s="509">
        <v>4.2</v>
      </c>
      <c r="P338" s="509">
        <v>0.45</v>
      </c>
      <c r="Q338" s="509">
        <v>3.1</v>
      </c>
      <c r="R338" s="503">
        <v>43600</v>
      </c>
      <c r="S338" s="509" t="s">
        <v>752</v>
      </c>
      <c r="T338" s="509"/>
      <c r="U338" s="508"/>
      <c r="X338" s="202">
        <v>4</v>
      </c>
      <c r="Y338" s="203" t="s">
        <v>11</v>
      </c>
      <c r="Z338" s="203"/>
      <c r="AA338" s="203"/>
      <c r="AB338" s="203">
        <v>4</v>
      </c>
    </row>
    <row r="339" spans="8:28" x14ac:dyDescent="0.25">
      <c r="H339" s="202">
        <v>4</v>
      </c>
      <c r="I339" s="501" t="s">
        <v>738</v>
      </c>
      <c r="J339" s="501" t="s">
        <v>12</v>
      </c>
      <c r="K339" s="501">
        <v>60</v>
      </c>
      <c r="L339" s="501">
        <v>0.1</v>
      </c>
      <c r="M339" s="501">
        <v>0.1</v>
      </c>
      <c r="N339" s="501">
        <v>0.5</v>
      </c>
      <c r="O339" s="501">
        <v>2.5</v>
      </c>
      <c r="P339" s="501">
        <v>0.5</v>
      </c>
      <c r="Q339" s="501">
        <v>3.8</v>
      </c>
      <c r="R339" s="503">
        <v>43600</v>
      </c>
      <c r="S339" s="504" t="s">
        <v>751</v>
      </c>
      <c r="T339" s="505"/>
      <c r="U339" s="506"/>
      <c r="X339" s="202">
        <v>5</v>
      </c>
      <c r="Y339" s="182"/>
      <c r="Z339" s="182"/>
      <c r="AA339" s="182"/>
      <c r="AB339" s="188">
        <v>5</v>
      </c>
    </row>
    <row r="340" spans="8:28" x14ac:dyDescent="0.25">
      <c r="H340" s="202">
        <v>5</v>
      </c>
      <c r="I340" s="509" t="s">
        <v>739</v>
      </c>
      <c r="J340" s="509" t="s">
        <v>740</v>
      </c>
      <c r="K340" s="509">
        <v>60</v>
      </c>
      <c r="L340" s="509">
        <v>0.1</v>
      </c>
      <c r="M340" s="509">
        <v>0.1</v>
      </c>
      <c r="N340" s="509">
        <v>0.8</v>
      </c>
      <c r="O340" s="509">
        <v>4.2</v>
      </c>
      <c r="P340" s="509">
        <v>0.45</v>
      </c>
      <c r="Q340" s="509">
        <v>3.1</v>
      </c>
      <c r="R340" s="503">
        <v>43600</v>
      </c>
      <c r="S340" s="509" t="s">
        <v>752</v>
      </c>
      <c r="T340" s="509"/>
      <c r="U340" s="509"/>
      <c r="X340" s="202">
        <v>6</v>
      </c>
      <c r="Y340" s="182"/>
      <c r="Z340" s="182"/>
      <c r="AA340" s="182"/>
      <c r="AB340" s="188">
        <v>6</v>
      </c>
    </row>
    <row r="341" spans="8:28" x14ac:dyDescent="0.25">
      <c r="H341" s="202">
        <v>6</v>
      </c>
      <c r="I341" s="182"/>
      <c r="J341" s="182"/>
      <c r="K341" s="182"/>
      <c r="L341" s="182"/>
      <c r="M341" s="182"/>
      <c r="N341" s="182"/>
      <c r="O341" s="182"/>
      <c r="P341" s="182"/>
      <c r="Q341" s="182"/>
      <c r="R341" s="182"/>
      <c r="S341" s="182"/>
      <c r="T341" s="182"/>
      <c r="U341" s="182"/>
      <c r="X341" s="202">
        <v>7</v>
      </c>
      <c r="Y341" s="188"/>
      <c r="Z341" s="188"/>
      <c r="AA341" s="188"/>
      <c r="AB341" s="188">
        <v>7</v>
      </c>
    </row>
    <row r="342" spans="8:28" x14ac:dyDescent="0.25">
      <c r="H342" s="202">
        <v>7</v>
      </c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X342" s="202">
        <v>8</v>
      </c>
      <c r="Y342" s="188"/>
      <c r="Z342" s="188"/>
      <c r="AA342" s="188"/>
      <c r="AB342" s="188">
        <v>8</v>
      </c>
    </row>
    <row r="343" spans="8:28" x14ac:dyDescent="0.25">
      <c r="H343" s="202">
        <v>8</v>
      </c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</row>
    <row r="347" spans="8:28" ht="21" x14ac:dyDescent="0.4">
      <c r="H347" s="695" t="s">
        <v>8</v>
      </c>
      <c r="I347" s="695"/>
      <c r="J347" s="695"/>
      <c r="K347" s="695"/>
      <c r="L347" s="695"/>
      <c r="M347" s="695"/>
      <c r="N347" s="695"/>
      <c r="O347" s="695"/>
      <c r="P347" s="695"/>
      <c r="Q347" s="242"/>
      <c r="R347" s="242"/>
      <c r="S347" s="242"/>
      <c r="T347" s="242"/>
      <c r="U347" s="242"/>
    </row>
    <row r="348" spans="8:28" x14ac:dyDescent="0.25">
      <c r="H348" s="242"/>
      <c r="I348" s="242"/>
      <c r="J348" s="242"/>
      <c r="K348" s="242"/>
      <c r="L348" s="242"/>
      <c r="M348" s="242"/>
      <c r="N348" s="242"/>
      <c r="O348" s="242"/>
      <c r="P348" s="242"/>
      <c r="Q348" s="242"/>
      <c r="R348" s="242"/>
      <c r="S348" s="242"/>
      <c r="T348" s="242"/>
      <c r="U348" s="242"/>
    </row>
    <row r="349" spans="8:28" ht="15.6" x14ac:dyDescent="0.3">
      <c r="H349" s="686" t="s">
        <v>186</v>
      </c>
      <c r="I349" s="686"/>
      <c r="J349" s="686"/>
      <c r="K349" s="686"/>
      <c r="L349" s="242"/>
      <c r="M349" s="686" t="s">
        <v>186</v>
      </c>
      <c r="N349" s="686"/>
      <c r="O349" s="686"/>
      <c r="P349" s="686"/>
      <c r="Q349" s="242"/>
      <c r="R349" s="242"/>
      <c r="S349" s="242"/>
      <c r="T349" s="242"/>
      <c r="U349" s="242"/>
    </row>
    <row r="350" spans="8:28" x14ac:dyDescent="0.25">
      <c r="H350" s="28" t="s">
        <v>173</v>
      </c>
      <c r="I350" s="29" t="s">
        <v>174</v>
      </c>
      <c r="J350" s="30" t="s">
        <v>175</v>
      </c>
      <c r="K350" s="29" t="s">
        <v>176</v>
      </c>
      <c r="L350" s="242"/>
      <c r="M350" s="28" t="s">
        <v>173</v>
      </c>
      <c r="N350" s="29" t="s">
        <v>174</v>
      </c>
      <c r="O350" s="30" t="s">
        <v>175</v>
      </c>
      <c r="P350" s="29" t="s">
        <v>176</v>
      </c>
      <c r="Q350" s="242"/>
      <c r="R350" s="242"/>
      <c r="S350" s="242"/>
      <c r="T350" s="242"/>
      <c r="U350" s="242"/>
    </row>
    <row r="351" spans="8:28" x14ac:dyDescent="0.25">
      <c r="H351" s="31">
        <f>VLOOKUP(I351,H357:K363,4,FALSE)</f>
        <v>1</v>
      </c>
      <c r="I351" s="243">
        <f>VLOOKUP(I352,H357:J363,1,TRUE)</f>
        <v>14.88</v>
      </c>
      <c r="J351" s="244">
        <f>VLOOKUP(I351,H357:J363,2,FALSE)</f>
        <v>0.1</v>
      </c>
      <c r="K351" s="244">
        <f>VLOOKUP(I351,H357:J363,3,FALSE)</f>
        <v>0.25</v>
      </c>
      <c r="L351" s="242"/>
      <c r="M351" s="31">
        <f>VLOOKUP(N351,M357:P363,4,FALSE)</f>
        <v>1</v>
      </c>
      <c r="N351" s="243">
        <f>VLOOKUP(N352,M357:P363,1,TRUE)</f>
        <v>14.88</v>
      </c>
      <c r="O351" s="244">
        <f>VLOOKUP(N351,M357:P363,2,FALSE)</f>
        <v>0.1</v>
      </c>
      <c r="P351" s="244">
        <f>VLOOKUP(N351,M357:P363,3,FALSE)</f>
        <v>0.25</v>
      </c>
      <c r="Q351" s="242"/>
      <c r="R351" s="242"/>
      <c r="S351" s="242"/>
      <c r="T351" s="242"/>
      <c r="U351" s="242"/>
    </row>
    <row r="352" spans="8:28" x14ac:dyDescent="0.25">
      <c r="H352" s="243"/>
      <c r="I352" s="32">
        <f>datos!H349</f>
        <v>19.600000000000001</v>
      </c>
      <c r="J352" s="245">
        <f>(J353-J351)/(I353-I351)*(I352-I351)+J351</f>
        <v>0.11910931174089069</v>
      </c>
      <c r="K352" s="245">
        <f>(K353-K351)/(I353-I351)*(I352-I351)+K351</f>
        <v>0.25477732793522267</v>
      </c>
      <c r="L352" s="242"/>
      <c r="M352" s="243"/>
      <c r="N352" s="32">
        <f>datos!I349</f>
        <v>20.100000000000001</v>
      </c>
      <c r="O352" s="245">
        <f>(O353-O351)/(N353-N351)*(N352-N351)+O351</f>
        <v>0.12113360323886641</v>
      </c>
      <c r="P352" s="245">
        <f>(P353-P351)/(N353-N351)*(N352-N351)+P351</f>
        <v>0.25528340080971662</v>
      </c>
      <c r="Q352" s="242"/>
      <c r="R352" s="242"/>
      <c r="S352" s="242"/>
      <c r="T352" s="242"/>
      <c r="U352" s="242"/>
    </row>
    <row r="353" spans="7:21" x14ac:dyDescent="0.25">
      <c r="H353" s="31">
        <f>H351+1</f>
        <v>2</v>
      </c>
      <c r="I353" s="243">
        <f>VLOOKUP(H351+1,G357:K363,2,FALSE)</f>
        <v>24.76</v>
      </c>
      <c r="J353" s="244">
        <f>VLOOKUP(I353,H357:K363,2,FALSE)</f>
        <v>0.14000000000000001</v>
      </c>
      <c r="K353" s="244">
        <f>VLOOKUP(I353,H357:K363,3,FALSE)</f>
        <v>0.26</v>
      </c>
      <c r="L353" s="242"/>
      <c r="M353" s="31">
        <f>M351+1</f>
        <v>2</v>
      </c>
      <c r="N353" s="243">
        <f>VLOOKUP(M351+1,L357:P363,2,FALSE)</f>
        <v>24.76</v>
      </c>
      <c r="O353" s="244">
        <f>VLOOKUP(N353,M357:P363,2,FALSE)</f>
        <v>0.14000000000000001</v>
      </c>
      <c r="P353" s="244">
        <f>VLOOKUP(N353,M357:P363,3,FALSE)</f>
        <v>0.26</v>
      </c>
      <c r="Q353" s="242"/>
      <c r="R353" s="242"/>
      <c r="S353" s="242"/>
      <c r="T353" s="242"/>
      <c r="U353" s="242"/>
    </row>
    <row r="354" spans="7:21" x14ac:dyDescent="0.25"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</row>
    <row r="355" spans="7:21" ht="15.6" x14ac:dyDescent="0.3">
      <c r="G355" s="684" t="s">
        <v>12</v>
      </c>
      <c r="H355" s="684"/>
      <c r="I355" s="684"/>
      <c r="J355" s="684"/>
      <c r="K355" s="684"/>
      <c r="L355" s="684" t="s">
        <v>12</v>
      </c>
      <c r="M355" s="684"/>
      <c r="N355" s="684"/>
      <c r="O355" s="684"/>
      <c r="P355" s="684"/>
      <c r="Q355" s="242"/>
      <c r="R355" s="242"/>
      <c r="S355" s="242"/>
      <c r="T355" s="242"/>
      <c r="U355" s="242"/>
    </row>
    <row r="356" spans="7:21" x14ac:dyDescent="0.25">
      <c r="G356" s="34"/>
      <c r="H356" s="30" t="s">
        <v>174</v>
      </c>
      <c r="I356" s="30" t="s">
        <v>175</v>
      </c>
      <c r="J356" s="30" t="s">
        <v>177</v>
      </c>
      <c r="K356" s="34"/>
      <c r="L356" s="34"/>
      <c r="M356" s="30" t="s">
        <v>174</v>
      </c>
      <c r="N356" s="30" t="s">
        <v>175</v>
      </c>
      <c r="O356" s="30" t="s">
        <v>177</v>
      </c>
      <c r="P356" s="34"/>
      <c r="Q356" s="242"/>
      <c r="R356" s="242"/>
      <c r="S356" s="242"/>
      <c r="T356" s="242"/>
      <c r="U356" s="242"/>
    </row>
    <row r="357" spans="7:21" ht="21" x14ac:dyDescent="0.25">
      <c r="G357" s="35">
        <v>1</v>
      </c>
      <c r="H357" s="511">
        <v>14.88</v>
      </c>
      <c r="I357" s="512">
        <v>0.1</v>
      </c>
      <c r="J357" s="513">
        <v>0.25</v>
      </c>
      <c r="K357" s="35">
        <v>1</v>
      </c>
      <c r="L357" s="35">
        <v>1</v>
      </c>
      <c r="M357" s="511">
        <v>14.88</v>
      </c>
      <c r="N357" s="512">
        <v>0.1</v>
      </c>
      <c r="O357" s="513">
        <v>0.25</v>
      </c>
      <c r="P357" s="35">
        <v>1</v>
      </c>
      <c r="Q357" s="242"/>
      <c r="R357" s="687" t="s">
        <v>178</v>
      </c>
      <c r="S357" s="688"/>
      <c r="T357" s="36">
        <v>1</v>
      </c>
      <c r="U357" s="242"/>
    </row>
    <row r="358" spans="7:21" x14ac:dyDescent="0.25">
      <c r="G358" s="35">
        <v>2</v>
      </c>
      <c r="H358" s="511">
        <v>24.76</v>
      </c>
      <c r="I358" s="512">
        <v>0.14000000000000001</v>
      </c>
      <c r="J358" s="513">
        <v>0.26</v>
      </c>
      <c r="K358" s="35">
        <v>2</v>
      </c>
      <c r="L358" s="35">
        <v>2</v>
      </c>
      <c r="M358" s="511">
        <v>24.76</v>
      </c>
      <c r="N358" s="512">
        <v>0.14000000000000001</v>
      </c>
      <c r="O358" s="513">
        <v>0.26</v>
      </c>
      <c r="P358" s="35">
        <v>2</v>
      </c>
      <c r="Q358" s="242"/>
      <c r="R358" s="421" t="s">
        <v>179</v>
      </c>
      <c r="S358" s="421" t="s">
        <v>180</v>
      </c>
      <c r="T358" s="242"/>
      <c r="U358" s="242"/>
    </row>
    <row r="359" spans="7:21" x14ac:dyDescent="0.25">
      <c r="G359" s="35">
        <v>3</v>
      </c>
      <c r="H359" s="511">
        <v>34.86</v>
      </c>
      <c r="I359" s="512">
        <v>0.02</v>
      </c>
      <c r="J359" s="513">
        <v>0.3</v>
      </c>
      <c r="K359" s="35">
        <v>3</v>
      </c>
      <c r="L359" s="35">
        <v>3</v>
      </c>
      <c r="M359" s="511">
        <v>34.86</v>
      </c>
      <c r="N359" s="512">
        <v>0.02</v>
      </c>
      <c r="O359" s="513">
        <v>0.3</v>
      </c>
      <c r="P359" s="35">
        <v>3</v>
      </c>
      <c r="Q359" s="242"/>
      <c r="R359" s="246">
        <f>I352+J352</f>
        <v>19.71910931174089</v>
      </c>
      <c r="S359" s="246">
        <f>N352+O352</f>
        <v>20.221133603238869</v>
      </c>
      <c r="T359" s="242"/>
      <c r="U359" s="242"/>
    </row>
    <row r="360" spans="7:21" x14ac:dyDescent="0.25">
      <c r="G360" s="35">
        <v>4</v>
      </c>
      <c r="H360" s="511">
        <v>44.7</v>
      </c>
      <c r="I360" s="514">
        <v>0</v>
      </c>
      <c r="J360" s="513">
        <v>0.25</v>
      </c>
      <c r="K360" s="35">
        <v>4</v>
      </c>
      <c r="L360" s="35">
        <v>4</v>
      </c>
      <c r="M360" s="511">
        <v>44.7</v>
      </c>
      <c r="N360" s="514">
        <v>0</v>
      </c>
      <c r="O360" s="513">
        <v>0.25</v>
      </c>
      <c r="P360" s="35">
        <v>4</v>
      </c>
      <c r="Q360" s="242"/>
      <c r="R360" s="246">
        <f>I370+J370</f>
        <v>53.046632782719186</v>
      </c>
      <c r="S360" s="246">
        <f>N370+O370</f>
        <v>53.046632782719186</v>
      </c>
      <c r="T360" s="242"/>
      <c r="U360" s="242"/>
    </row>
    <row r="361" spans="7:21" x14ac:dyDescent="0.25">
      <c r="G361" s="35">
        <v>5</v>
      </c>
      <c r="H361" s="511"/>
      <c r="I361" s="512"/>
      <c r="J361" s="513"/>
      <c r="K361" s="35">
        <v>5</v>
      </c>
      <c r="L361" s="35">
        <v>5</v>
      </c>
      <c r="M361" s="416"/>
      <c r="N361" s="417"/>
      <c r="O361" s="418"/>
      <c r="P361" s="35">
        <v>5</v>
      </c>
      <c r="Q361" s="242"/>
      <c r="R361" s="247">
        <f>I385+J385</f>
        <v>100099.13115411611</v>
      </c>
      <c r="S361" s="247">
        <f>N385+O385</f>
        <v>100099.13115411611</v>
      </c>
      <c r="T361" s="242"/>
      <c r="U361" s="242"/>
    </row>
    <row r="362" spans="7:21" x14ac:dyDescent="0.25">
      <c r="G362" s="35">
        <v>6</v>
      </c>
      <c r="H362" s="511"/>
      <c r="I362" s="512"/>
      <c r="J362" s="513"/>
      <c r="K362" s="35">
        <v>6</v>
      </c>
      <c r="L362" s="35">
        <v>6</v>
      </c>
      <c r="M362" s="416"/>
      <c r="N362" s="417"/>
      <c r="O362" s="418"/>
      <c r="P362" s="35">
        <v>6</v>
      </c>
      <c r="Q362" s="242"/>
      <c r="R362" s="242"/>
      <c r="S362" s="242"/>
      <c r="T362" s="242"/>
      <c r="U362" s="242"/>
    </row>
    <row r="363" spans="7:21" x14ac:dyDescent="0.25">
      <c r="G363" s="35">
        <v>7</v>
      </c>
      <c r="H363" s="511"/>
      <c r="I363" s="513"/>
      <c r="J363" s="513"/>
      <c r="K363" s="35">
        <v>7</v>
      </c>
      <c r="L363" s="35">
        <v>7</v>
      </c>
      <c r="M363" s="416"/>
      <c r="N363" s="418"/>
      <c r="O363" s="418"/>
      <c r="P363" s="35">
        <v>7</v>
      </c>
      <c r="Q363" s="242"/>
      <c r="R363" s="242"/>
      <c r="S363" s="242"/>
      <c r="T363" s="242"/>
      <c r="U363" s="242"/>
    </row>
    <row r="364" spans="7:21" x14ac:dyDescent="0.25">
      <c r="H364" s="242"/>
      <c r="I364" s="242"/>
      <c r="J364" s="242"/>
      <c r="K364" s="242"/>
      <c r="L364" s="242"/>
      <c r="M364" s="242"/>
      <c r="N364" s="242"/>
      <c r="O364" s="242"/>
      <c r="P364" s="242"/>
      <c r="Q364" s="242"/>
      <c r="R364" s="242"/>
      <c r="S364" s="242"/>
      <c r="T364" s="242"/>
      <c r="U364" s="242"/>
    </row>
    <row r="365" spans="7:21" x14ac:dyDescent="0.25">
      <c r="H365" s="242"/>
      <c r="I365" s="242"/>
      <c r="J365" s="242"/>
      <c r="K365" s="242"/>
      <c r="L365" s="242"/>
      <c r="M365" s="242"/>
      <c r="N365" s="242"/>
      <c r="O365" s="242"/>
      <c r="P365" s="242"/>
      <c r="Q365" s="242"/>
      <c r="R365" s="242"/>
      <c r="S365" s="242"/>
      <c r="T365" s="242"/>
      <c r="U365" s="242"/>
    </row>
    <row r="366" spans="7:21" x14ac:dyDescent="0.25">
      <c r="H366" s="242"/>
      <c r="I366" s="242"/>
      <c r="J366" s="242"/>
      <c r="K366" s="242"/>
      <c r="L366" s="242"/>
      <c r="M366" s="242"/>
      <c r="N366" s="242"/>
      <c r="O366" s="242"/>
      <c r="P366" s="242"/>
      <c r="Q366" s="242"/>
      <c r="R366" s="242"/>
      <c r="S366" s="242"/>
      <c r="T366" s="242"/>
      <c r="U366" s="242"/>
    </row>
    <row r="367" spans="7:21" ht="15.6" x14ac:dyDescent="0.3">
      <c r="H367" s="684" t="s">
        <v>187</v>
      </c>
      <c r="I367" s="684"/>
      <c r="J367" s="684"/>
      <c r="K367" s="684"/>
      <c r="L367" s="242"/>
      <c r="M367" s="684" t="s">
        <v>187</v>
      </c>
      <c r="N367" s="684"/>
      <c r="O367" s="684"/>
      <c r="P367" s="684"/>
      <c r="Q367" s="242"/>
      <c r="R367" s="242"/>
      <c r="S367" s="242"/>
      <c r="T367" s="242"/>
      <c r="U367" s="242"/>
    </row>
    <row r="368" spans="7:21" x14ac:dyDescent="0.25">
      <c r="H368" s="28" t="s">
        <v>173</v>
      </c>
      <c r="I368" s="29" t="s">
        <v>182</v>
      </c>
      <c r="J368" s="30" t="s">
        <v>175</v>
      </c>
      <c r="K368" s="29" t="s">
        <v>176</v>
      </c>
      <c r="L368" s="242"/>
      <c r="M368" s="28" t="s">
        <v>173</v>
      </c>
      <c r="N368" s="29" t="s">
        <v>182</v>
      </c>
      <c r="O368" s="30" t="s">
        <v>175</v>
      </c>
      <c r="P368" s="29" t="s">
        <v>176</v>
      </c>
      <c r="Q368" s="242"/>
      <c r="R368" s="242"/>
      <c r="S368" s="242"/>
      <c r="T368" s="242"/>
      <c r="U368" s="242"/>
    </row>
    <row r="369" spans="7:21" x14ac:dyDescent="0.25">
      <c r="H369" s="31">
        <f>VLOOKUP(I369,H375:K379,4,FALSE)</f>
        <v>3</v>
      </c>
      <c r="I369" s="243">
        <f>VLOOKUP(I370,H375:K379,1,TRUE)</f>
        <v>48.84</v>
      </c>
      <c r="J369" s="248">
        <f>VLOOKUP(I369,H375:J379,2,FALSE)</f>
        <v>1.2</v>
      </c>
      <c r="K369" s="248">
        <f>VLOOKUP(I369,H357:K379,3,FALSE)</f>
        <v>0.6</v>
      </c>
      <c r="L369" s="242"/>
      <c r="M369" s="31">
        <f>VLOOKUP(N369,M375:P379,4,FALSE)</f>
        <v>3</v>
      </c>
      <c r="N369" s="243">
        <f>VLOOKUP(N370,M375:P379,1,TRUE)</f>
        <v>48.84</v>
      </c>
      <c r="O369" s="248">
        <f>VLOOKUP(N369,M375:P379,2,FALSE)</f>
        <v>1.2</v>
      </c>
      <c r="P369" s="248">
        <f>VLOOKUP(N369,M375:P379,3,FALSE)</f>
        <v>0.6</v>
      </c>
      <c r="Q369" s="242"/>
      <c r="R369" s="242"/>
      <c r="S369" s="242"/>
      <c r="T369" s="242"/>
      <c r="U369" s="242"/>
    </row>
    <row r="370" spans="7:21" x14ac:dyDescent="0.25">
      <c r="H370" s="243"/>
      <c r="I370" s="32">
        <f>datos!H350</f>
        <v>51.1</v>
      </c>
      <c r="J370" s="249">
        <f>(J371-J369)/(I371-I369)*(I370-I369)+J369</f>
        <v>1.9466327827191861</v>
      </c>
      <c r="K370" s="249">
        <f>(K371-K369)/(I371-I369)*(I370-I369)+K369</f>
        <v>0.6</v>
      </c>
      <c r="L370" s="242"/>
      <c r="M370" s="243"/>
      <c r="N370" s="32">
        <f>datos!I350</f>
        <v>51.1</v>
      </c>
      <c r="O370" s="249">
        <f>(O371-O369)/(N371-N369)*(N370-N369)+O369</f>
        <v>1.9466327827191861</v>
      </c>
      <c r="P370" s="249">
        <f>(P371-P369)/(O371-O369)*(O370-O369)+P369</f>
        <v>0.6</v>
      </c>
      <c r="Q370" s="242"/>
      <c r="R370" s="242"/>
      <c r="S370" s="242"/>
      <c r="T370" s="242"/>
      <c r="U370" s="242"/>
    </row>
    <row r="371" spans="7:21" x14ac:dyDescent="0.25">
      <c r="H371" s="31">
        <f>H369+1</f>
        <v>4</v>
      </c>
      <c r="I371" s="243">
        <f>VLOOKUP(H369+1,G375:J379,2,FALSE)</f>
        <v>56.71</v>
      </c>
      <c r="J371" s="248">
        <f>VLOOKUP(I371,H375:K379,2,FALSE)</f>
        <v>3.8</v>
      </c>
      <c r="K371" s="248">
        <f>VLOOKUP(I371,H375:K379,3,FALSE)</f>
        <v>0.6</v>
      </c>
      <c r="L371" s="242"/>
      <c r="M371" s="31">
        <f>M369+1</f>
        <v>4</v>
      </c>
      <c r="N371" s="243">
        <f>VLOOKUP(M369+1,L375:O379,2,FALSE)</f>
        <v>56.71</v>
      </c>
      <c r="O371" s="248">
        <f>VLOOKUP(N371,M375:P379,2,FALSE)</f>
        <v>3.8</v>
      </c>
      <c r="P371" s="248">
        <f>VLOOKUP(N371,M375:P379,3,FALSE)</f>
        <v>0.6</v>
      </c>
      <c r="Q371" s="242"/>
      <c r="R371" s="242"/>
      <c r="S371" s="242"/>
      <c r="T371" s="242"/>
      <c r="U371" s="242"/>
    </row>
    <row r="372" spans="7:21" x14ac:dyDescent="0.25">
      <c r="H372" s="242"/>
      <c r="I372" s="242"/>
      <c r="J372" s="242"/>
      <c r="K372" s="242"/>
      <c r="L372" s="242"/>
      <c r="M372" s="242"/>
      <c r="N372" s="242"/>
      <c r="O372" s="242"/>
      <c r="P372" s="242"/>
      <c r="Q372" s="242"/>
      <c r="R372" s="242"/>
      <c r="S372" s="242"/>
      <c r="T372" s="242"/>
      <c r="U372" s="242"/>
    </row>
    <row r="373" spans="7:21" ht="15.6" x14ac:dyDescent="0.3">
      <c r="G373" s="424"/>
      <c r="H373" s="685" t="s">
        <v>181</v>
      </c>
      <c r="I373" s="685"/>
      <c r="J373" s="685"/>
      <c r="K373" s="685"/>
      <c r="L373" s="425"/>
      <c r="M373" s="685" t="s">
        <v>187</v>
      </c>
      <c r="N373" s="685"/>
      <c r="O373" s="685"/>
      <c r="P373" s="685"/>
      <c r="Q373" s="242"/>
      <c r="R373" s="242"/>
      <c r="S373" s="242"/>
      <c r="T373" s="242"/>
      <c r="U373" s="242"/>
    </row>
    <row r="374" spans="7:21" x14ac:dyDescent="0.25">
      <c r="G374" s="424"/>
      <c r="H374" s="426" t="s">
        <v>183</v>
      </c>
      <c r="I374" s="426" t="s">
        <v>6</v>
      </c>
      <c r="J374" s="426" t="s">
        <v>177</v>
      </c>
      <c r="K374" s="427"/>
      <c r="L374" s="427"/>
      <c r="M374" s="426" t="s">
        <v>183</v>
      </c>
      <c r="N374" s="426" t="s">
        <v>6</v>
      </c>
      <c r="O374" s="426" t="s">
        <v>177</v>
      </c>
      <c r="P374" s="427"/>
      <c r="Q374" s="242"/>
      <c r="R374" s="242"/>
      <c r="S374" s="242"/>
      <c r="T374" s="242"/>
      <c r="U374" s="242"/>
    </row>
    <row r="375" spans="7:21" x14ac:dyDescent="0.25">
      <c r="G375" s="428">
        <v>1</v>
      </c>
      <c r="H375" s="423">
        <v>37.869999999999997</v>
      </c>
      <c r="I375" s="423">
        <v>-2.5</v>
      </c>
      <c r="J375" s="423">
        <v>0.5</v>
      </c>
      <c r="K375" s="428">
        <v>1</v>
      </c>
      <c r="L375" s="428">
        <v>1</v>
      </c>
      <c r="M375" s="423">
        <v>37.869999999999997</v>
      </c>
      <c r="N375" s="423">
        <v>-2.5</v>
      </c>
      <c r="O375" s="423">
        <v>0.5</v>
      </c>
      <c r="P375" s="428">
        <v>1</v>
      </c>
      <c r="Q375" s="242"/>
      <c r="R375" s="242"/>
      <c r="S375" s="242"/>
      <c r="T375" s="242"/>
      <c r="U375" s="242"/>
    </row>
    <row r="376" spans="7:21" x14ac:dyDescent="0.25">
      <c r="G376" s="428">
        <v>2</v>
      </c>
      <c r="H376" s="423">
        <v>42.56</v>
      </c>
      <c r="I376" s="423">
        <v>-2.2000000000000002</v>
      </c>
      <c r="J376" s="423">
        <v>0.5</v>
      </c>
      <c r="K376" s="428">
        <v>2</v>
      </c>
      <c r="L376" s="428">
        <v>2</v>
      </c>
      <c r="M376" s="423">
        <v>42.56</v>
      </c>
      <c r="N376" s="423">
        <v>-2.2000000000000002</v>
      </c>
      <c r="O376" s="423">
        <v>0.5</v>
      </c>
      <c r="P376" s="428">
        <v>2</v>
      </c>
      <c r="Q376" s="242"/>
      <c r="R376" s="242"/>
      <c r="S376" s="242"/>
      <c r="T376" s="242"/>
      <c r="U376" s="242"/>
    </row>
    <row r="377" spans="7:21" x14ac:dyDescent="0.25">
      <c r="G377" s="428">
        <v>3</v>
      </c>
      <c r="H377" s="423">
        <v>48.84</v>
      </c>
      <c r="I377" s="423">
        <v>1.2</v>
      </c>
      <c r="J377" s="423">
        <v>0.6</v>
      </c>
      <c r="K377" s="428">
        <v>3</v>
      </c>
      <c r="L377" s="428">
        <v>3</v>
      </c>
      <c r="M377" s="423">
        <v>48.84</v>
      </c>
      <c r="N377" s="423">
        <v>1.2</v>
      </c>
      <c r="O377" s="423">
        <v>0.6</v>
      </c>
      <c r="P377" s="428">
        <v>3</v>
      </c>
      <c r="Q377" s="242"/>
      <c r="R377" s="242"/>
      <c r="S377" s="242"/>
      <c r="T377" s="242"/>
      <c r="U377" s="242"/>
    </row>
    <row r="378" spans="7:21" x14ac:dyDescent="0.25">
      <c r="G378" s="428">
        <v>4</v>
      </c>
      <c r="H378" s="423">
        <v>56.71</v>
      </c>
      <c r="I378" s="423">
        <v>3.8</v>
      </c>
      <c r="J378" s="423">
        <v>0.6</v>
      </c>
      <c r="K378" s="428">
        <v>4</v>
      </c>
      <c r="L378" s="428">
        <v>4</v>
      </c>
      <c r="M378" s="423">
        <v>56.71</v>
      </c>
      <c r="N378" s="423">
        <v>3.8</v>
      </c>
      <c r="O378" s="423">
        <v>0.6</v>
      </c>
      <c r="P378" s="428">
        <v>4</v>
      </c>
      <c r="Q378" s="242"/>
      <c r="R378" s="242"/>
      <c r="S378" s="242"/>
      <c r="T378" s="242"/>
      <c r="U378" s="242"/>
    </row>
    <row r="379" spans="7:21" x14ac:dyDescent="0.25">
      <c r="G379" s="428">
        <v>5</v>
      </c>
      <c r="H379" s="423">
        <v>66.400000000000006</v>
      </c>
      <c r="I379" s="423">
        <v>4.3</v>
      </c>
      <c r="J379" s="423">
        <v>0.6</v>
      </c>
      <c r="K379" s="428">
        <v>5</v>
      </c>
      <c r="L379" s="428">
        <v>5</v>
      </c>
      <c r="M379" s="423">
        <v>66.400000000000006</v>
      </c>
      <c r="N379" s="423">
        <v>4.3</v>
      </c>
      <c r="O379" s="423">
        <v>0.6</v>
      </c>
      <c r="P379" s="428">
        <v>5</v>
      </c>
      <c r="Q379" s="242"/>
      <c r="R379" s="242"/>
      <c r="S379" s="242"/>
      <c r="T379" s="242"/>
      <c r="U379" s="242"/>
    </row>
    <row r="380" spans="7:21" x14ac:dyDescent="0.25">
      <c r="H380" s="242"/>
      <c r="I380" s="242"/>
      <c r="J380" s="242"/>
      <c r="K380" s="242"/>
      <c r="L380" s="242"/>
      <c r="M380" s="242"/>
      <c r="N380" s="242"/>
      <c r="O380" s="242"/>
      <c r="P380" s="242"/>
      <c r="Q380" s="242"/>
      <c r="R380" s="242"/>
      <c r="S380" s="242"/>
      <c r="T380" s="242"/>
      <c r="U380" s="242"/>
    </row>
    <row r="381" spans="7:21" x14ac:dyDescent="0.25">
      <c r="H381" s="242"/>
      <c r="I381" s="242"/>
      <c r="J381" s="242"/>
      <c r="K381" s="242"/>
      <c r="L381" s="242"/>
      <c r="M381" s="242"/>
      <c r="N381" s="242"/>
      <c r="O381" s="242"/>
      <c r="P381" s="242"/>
      <c r="Q381" s="242"/>
      <c r="R381" s="242"/>
      <c r="S381" s="242"/>
      <c r="T381" s="242"/>
      <c r="U381" s="242"/>
    </row>
    <row r="382" spans="7:21" ht="15.6" x14ac:dyDescent="0.3">
      <c r="H382" s="686" t="s">
        <v>188</v>
      </c>
      <c r="I382" s="686"/>
      <c r="J382" s="686"/>
      <c r="K382" s="686"/>
      <c r="L382" s="242"/>
      <c r="M382" s="686" t="s">
        <v>188</v>
      </c>
      <c r="N382" s="686"/>
      <c r="O382" s="686"/>
      <c r="P382" s="686"/>
      <c r="Q382" s="242"/>
      <c r="R382" s="242"/>
      <c r="S382" s="242"/>
      <c r="T382" s="242"/>
      <c r="U382" s="242"/>
    </row>
    <row r="383" spans="7:21" x14ac:dyDescent="0.25">
      <c r="H383" s="28" t="s">
        <v>173</v>
      </c>
      <c r="I383" s="29" t="s">
        <v>184</v>
      </c>
      <c r="J383" s="30" t="s">
        <v>175</v>
      </c>
      <c r="K383" s="29" t="s">
        <v>176</v>
      </c>
      <c r="L383" s="242"/>
      <c r="M383" s="28" t="s">
        <v>173</v>
      </c>
      <c r="N383" s="29" t="s">
        <v>184</v>
      </c>
      <c r="O383" s="30" t="s">
        <v>175</v>
      </c>
      <c r="P383" s="29" t="s">
        <v>176</v>
      </c>
      <c r="Q383" s="242"/>
      <c r="R383" s="242"/>
      <c r="S383" s="242"/>
      <c r="T383" s="242"/>
      <c r="U383" s="242"/>
    </row>
    <row r="384" spans="7:21" ht="20.25" customHeight="1" x14ac:dyDescent="0.25">
      <c r="H384" s="31">
        <f>VLOOKUP(I384,H389:K395,4,FALSE)</f>
        <v>6</v>
      </c>
      <c r="I384" s="250">
        <f>VLOOKUP(I385,H389:K395,1,TRUE)</f>
        <v>99773</v>
      </c>
      <c r="J384" s="251">
        <f>VLOOKUP(I384,H389:K395,2,FALSE)</f>
        <v>-1</v>
      </c>
      <c r="K384" s="251">
        <f>VLOOKUP(I384,H389:K395,3,FALSE)</f>
        <v>4</v>
      </c>
      <c r="L384" s="242"/>
      <c r="M384" s="31">
        <f>VLOOKUP(N384,M389:P395,4,FALSE)</f>
        <v>6</v>
      </c>
      <c r="N384" s="250">
        <f>VLOOKUP(N385,M389:P395,1,TRUE)</f>
        <v>99773</v>
      </c>
      <c r="O384" s="251">
        <f>VLOOKUP(N384,M389:P395,2,FALSE)</f>
        <v>-1</v>
      </c>
      <c r="P384" s="251">
        <f>VLOOKUP(N384,M389:P395,3,FALSE)</f>
        <v>4</v>
      </c>
      <c r="Q384" s="242"/>
      <c r="R384" s="242"/>
      <c r="S384" s="242"/>
      <c r="T384" s="242"/>
      <c r="U384" s="242"/>
    </row>
    <row r="385" spans="7:21" x14ac:dyDescent="0.25">
      <c r="H385" s="243"/>
      <c r="I385" s="37">
        <f>datos!H351*100</f>
        <v>100100</v>
      </c>
      <c r="J385" s="252">
        <f>(J386-J384)/(I386-I384)*(I385-I384)+J384</f>
        <v>-0.86884588388649353</v>
      </c>
      <c r="K385" s="252">
        <f>(K386-K384)/(I386-I384)*(I385-I384)+K384</f>
        <v>4</v>
      </c>
      <c r="L385" s="242"/>
      <c r="M385" s="243"/>
      <c r="N385" s="37">
        <f>datos!I351*100</f>
        <v>100100</v>
      </c>
      <c r="O385" s="252">
        <f>(O386-O384)/(N386-N384)*(N385-N384)+O384</f>
        <v>-0.86884588388649353</v>
      </c>
      <c r="P385" s="252">
        <f>(P386-P384)/(N386-N384)*(N385-N384)+P384</f>
        <v>4</v>
      </c>
      <c r="Q385" s="242"/>
      <c r="R385" s="242"/>
      <c r="S385" s="242"/>
      <c r="T385" s="242"/>
      <c r="U385" s="242"/>
    </row>
    <row r="386" spans="7:21" x14ac:dyDescent="0.25">
      <c r="H386" s="31">
        <f>H384+1</f>
        <v>7</v>
      </c>
      <c r="I386" s="250">
        <f>VLOOKUP(H384+1,G389:J395,2,FALSE)</f>
        <v>109746</v>
      </c>
      <c r="J386" s="251">
        <f>VLOOKUP(I386,H389:K395,2,FALSE)</f>
        <v>3</v>
      </c>
      <c r="K386" s="251">
        <f>VLOOKUP(I386,H389:K395,3,FALSE)</f>
        <v>4</v>
      </c>
      <c r="L386" s="242"/>
      <c r="M386" s="31">
        <f>M384+1</f>
        <v>7</v>
      </c>
      <c r="N386" s="250">
        <f>VLOOKUP(M384+1,L389:O395,2,FALSE)</f>
        <v>109746</v>
      </c>
      <c r="O386" s="251">
        <f>VLOOKUP(N386,M389:P395,2,FALSE)</f>
        <v>3</v>
      </c>
      <c r="P386" s="251">
        <f>VLOOKUP(N386,M389:P395,3,FALSE)</f>
        <v>4</v>
      </c>
      <c r="Q386" s="242"/>
      <c r="R386" s="242"/>
      <c r="S386" s="242"/>
      <c r="T386" s="242"/>
      <c r="U386" s="242"/>
    </row>
    <row r="387" spans="7:21" x14ac:dyDescent="0.25">
      <c r="G387" s="424"/>
      <c r="H387" s="425"/>
      <c r="I387" s="425"/>
      <c r="J387" s="425"/>
      <c r="K387" s="425"/>
      <c r="L387" s="425"/>
      <c r="M387" s="425"/>
      <c r="N387" s="425"/>
      <c r="O387" s="425"/>
      <c r="P387" s="425"/>
      <c r="Q387" s="242"/>
      <c r="R387" s="242"/>
      <c r="S387" s="242"/>
      <c r="T387" s="242"/>
      <c r="U387" s="242"/>
    </row>
    <row r="388" spans="7:21" x14ac:dyDescent="0.25">
      <c r="G388" s="424"/>
      <c r="H388" s="426" t="s">
        <v>185</v>
      </c>
      <c r="I388" s="426" t="s">
        <v>175</v>
      </c>
      <c r="J388" s="426" t="s">
        <v>177</v>
      </c>
      <c r="K388" s="427"/>
      <c r="L388" s="427"/>
      <c r="M388" s="426" t="s">
        <v>185</v>
      </c>
      <c r="N388" s="426" t="s">
        <v>175</v>
      </c>
      <c r="O388" s="426" t="s">
        <v>177</v>
      </c>
      <c r="P388" s="427"/>
      <c r="Q388" s="242"/>
      <c r="R388" s="242"/>
      <c r="S388" s="242"/>
      <c r="T388" s="242"/>
      <c r="U388" s="242"/>
    </row>
    <row r="389" spans="7:21" x14ac:dyDescent="0.25">
      <c r="G389" s="428">
        <v>1</v>
      </c>
      <c r="H389" s="429">
        <v>49882</v>
      </c>
      <c r="I389" s="423">
        <v>4</v>
      </c>
      <c r="J389" s="423">
        <v>4</v>
      </c>
      <c r="K389" s="428">
        <v>1</v>
      </c>
      <c r="L389" s="428">
        <v>1</v>
      </c>
      <c r="M389" s="430">
        <v>49882</v>
      </c>
      <c r="N389" s="423">
        <v>4</v>
      </c>
      <c r="O389" s="423">
        <v>4</v>
      </c>
      <c r="P389" s="428">
        <v>1</v>
      </c>
      <c r="Q389" s="242"/>
      <c r="R389" s="242"/>
      <c r="S389" s="242"/>
      <c r="T389" s="242"/>
      <c r="U389" s="242"/>
    </row>
    <row r="390" spans="7:21" x14ac:dyDescent="0.25">
      <c r="G390" s="428">
        <v>2</v>
      </c>
      <c r="H390" s="429">
        <v>59861</v>
      </c>
      <c r="I390" s="423">
        <v>2</v>
      </c>
      <c r="J390" s="423">
        <v>4</v>
      </c>
      <c r="K390" s="428">
        <v>2</v>
      </c>
      <c r="L390" s="428">
        <v>2</v>
      </c>
      <c r="M390" s="429">
        <v>59861</v>
      </c>
      <c r="N390" s="423">
        <v>2</v>
      </c>
      <c r="O390" s="423">
        <v>4</v>
      </c>
      <c r="P390" s="428">
        <v>2</v>
      </c>
      <c r="Q390" s="242"/>
      <c r="R390" s="242"/>
      <c r="S390" s="242"/>
      <c r="T390" s="242"/>
      <c r="U390" s="242"/>
    </row>
    <row r="391" spans="7:21" x14ac:dyDescent="0.25">
      <c r="G391" s="428">
        <v>3</v>
      </c>
      <c r="H391" s="429">
        <v>69839</v>
      </c>
      <c r="I391" s="423">
        <v>2</v>
      </c>
      <c r="J391" s="423">
        <v>4</v>
      </c>
      <c r="K391" s="428">
        <v>3</v>
      </c>
      <c r="L391" s="428">
        <v>3</v>
      </c>
      <c r="M391" s="429">
        <v>69839</v>
      </c>
      <c r="N391" s="423">
        <v>2</v>
      </c>
      <c r="O391" s="423">
        <v>4</v>
      </c>
      <c r="P391" s="428">
        <v>3</v>
      </c>
      <c r="Q391" s="242"/>
      <c r="R391" s="242"/>
      <c r="S391" s="242"/>
      <c r="T391" s="242"/>
      <c r="U391" s="242"/>
    </row>
    <row r="392" spans="7:21" x14ac:dyDescent="0.25">
      <c r="G392" s="428">
        <v>4</v>
      </c>
      <c r="H392" s="429">
        <v>79816</v>
      </c>
      <c r="I392" s="423">
        <v>2</v>
      </c>
      <c r="J392" s="423">
        <v>4</v>
      </c>
      <c r="K392" s="428">
        <v>4</v>
      </c>
      <c r="L392" s="428">
        <v>4</v>
      </c>
      <c r="M392" s="429">
        <v>79816</v>
      </c>
      <c r="N392" s="423">
        <v>2</v>
      </c>
      <c r="O392" s="423">
        <v>4</v>
      </c>
      <c r="P392" s="428">
        <v>4</v>
      </c>
      <c r="Q392" s="242"/>
      <c r="R392" s="242"/>
      <c r="S392" s="242"/>
      <c r="T392" s="242"/>
      <c r="U392" s="242"/>
    </row>
    <row r="393" spans="7:21" x14ac:dyDescent="0.25">
      <c r="G393" s="428">
        <v>5</v>
      </c>
      <c r="H393" s="429">
        <v>89773</v>
      </c>
      <c r="I393" s="423">
        <v>0</v>
      </c>
      <c r="J393" s="423">
        <v>4</v>
      </c>
      <c r="K393" s="428">
        <v>5</v>
      </c>
      <c r="L393" s="428">
        <v>5</v>
      </c>
      <c r="M393" s="429">
        <v>89773</v>
      </c>
      <c r="N393" s="423">
        <v>0</v>
      </c>
      <c r="O393" s="423">
        <v>4</v>
      </c>
      <c r="P393" s="428">
        <v>5</v>
      </c>
      <c r="Q393" s="242"/>
      <c r="R393" s="242"/>
      <c r="S393" s="242"/>
      <c r="T393" s="242"/>
      <c r="U393" s="242"/>
    </row>
    <row r="394" spans="7:21" x14ac:dyDescent="0.25">
      <c r="G394" s="428">
        <v>6</v>
      </c>
      <c r="H394" s="429">
        <v>99773</v>
      </c>
      <c r="I394" s="423">
        <v>-1</v>
      </c>
      <c r="J394" s="423">
        <v>4</v>
      </c>
      <c r="K394" s="428">
        <v>6</v>
      </c>
      <c r="L394" s="428">
        <v>6</v>
      </c>
      <c r="M394" s="429">
        <v>99773</v>
      </c>
      <c r="N394" s="423">
        <v>-1</v>
      </c>
      <c r="O394" s="423">
        <v>4</v>
      </c>
      <c r="P394" s="428">
        <v>6</v>
      </c>
      <c r="Q394" s="242"/>
      <c r="R394" s="242"/>
      <c r="S394" s="242"/>
      <c r="T394" s="242"/>
      <c r="U394" s="242"/>
    </row>
    <row r="395" spans="7:21" x14ac:dyDescent="0.25">
      <c r="G395" s="428">
        <v>7</v>
      </c>
      <c r="H395" s="429">
        <v>109746</v>
      </c>
      <c r="I395" s="423">
        <v>3</v>
      </c>
      <c r="J395" s="423">
        <v>4</v>
      </c>
      <c r="K395" s="428">
        <v>7</v>
      </c>
      <c r="L395" s="428">
        <v>7</v>
      </c>
      <c r="M395" s="429">
        <v>109746</v>
      </c>
      <c r="N395" s="423">
        <v>3</v>
      </c>
      <c r="O395" s="423">
        <v>4</v>
      </c>
      <c r="P395" s="428">
        <v>7</v>
      </c>
      <c r="Q395" s="242"/>
      <c r="R395" s="242"/>
      <c r="S395" s="242"/>
      <c r="T395" s="242"/>
      <c r="U395" s="242"/>
    </row>
    <row r="396" spans="7:21" x14ac:dyDescent="0.25">
      <c r="G396" s="424"/>
      <c r="H396" s="425"/>
      <c r="I396" s="425"/>
      <c r="J396" s="425"/>
      <c r="K396" s="425"/>
      <c r="L396" s="425"/>
      <c r="M396" s="425"/>
      <c r="N396" s="425"/>
      <c r="O396" s="425"/>
      <c r="P396" s="425"/>
      <c r="Q396" s="242"/>
      <c r="R396" s="242"/>
      <c r="S396" s="242"/>
      <c r="T396" s="242"/>
      <c r="U396" s="242"/>
    </row>
    <row r="401" spans="7:21" ht="21" x14ac:dyDescent="0.4">
      <c r="H401" s="695" t="s">
        <v>9</v>
      </c>
      <c r="I401" s="695"/>
      <c r="J401" s="695"/>
      <c r="K401" s="695"/>
      <c r="L401" s="695"/>
      <c r="M401" s="695"/>
      <c r="N401" s="695"/>
      <c r="O401" s="695"/>
      <c r="P401" s="695"/>
      <c r="Q401" s="242"/>
      <c r="R401" s="242"/>
      <c r="S401" s="242"/>
      <c r="T401" s="242"/>
      <c r="U401" s="242"/>
    </row>
    <row r="402" spans="7:21" x14ac:dyDescent="0.25">
      <c r="G402" s="35"/>
      <c r="H402" s="242"/>
      <c r="I402" s="242"/>
      <c r="J402" s="242"/>
      <c r="K402" s="242"/>
      <c r="L402" s="242"/>
      <c r="M402" s="242"/>
      <c r="N402" s="242"/>
      <c r="O402" s="242"/>
      <c r="P402" s="242"/>
      <c r="Q402" s="242"/>
      <c r="R402" s="242"/>
      <c r="S402" s="242"/>
      <c r="T402" s="242"/>
      <c r="U402" s="242"/>
    </row>
    <row r="403" spans="7:21" ht="15.6" x14ac:dyDescent="0.3">
      <c r="G403" s="35"/>
      <c r="H403" s="81" t="s">
        <v>186</v>
      </c>
      <c r="I403" s="81"/>
      <c r="J403" s="81"/>
      <c r="K403" s="81"/>
      <c r="L403" s="242"/>
      <c r="M403" s="81" t="s">
        <v>186</v>
      </c>
      <c r="N403" s="81"/>
      <c r="O403" s="81"/>
      <c r="P403" s="81"/>
      <c r="Q403" s="242"/>
      <c r="R403" s="242"/>
      <c r="S403" s="242"/>
      <c r="T403" s="242"/>
      <c r="U403" s="242"/>
    </row>
    <row r="404" spans="7:21" x14ac:dyDescent="0.25">
      <c r="G404" s="35"/>
      <c r="H404" s="28" t="s">
        <v>173</v>
      </c>
      <c r="I404" s="29" t="s">
        <v>174</v>
      </c>
      <c r="J404" s="30" t="s">
        <v>175</v>
      </c>
      <c r="K404" s="29" t="s">
        <v>176</v>
      </c>
      <c r="L404" s="242"/>
      <c r="M404" s="28" t="s">
        <v>173</v>
      </c>
      <c r="N404" s="29" t="s">
        <v>174</v>
      </c>
      <c r="O404" s="30" t="s">
        <v>175</v>
      </c>
      <c r="P404" s="29" t="s">
        <v>176</v>
      </c>
      <c r="Q404" s="242"/>
      <c r="R404" s="242"/>
      <c r="S404" s="242"/>
      <c r="T404" s="242"/>
      <c r="U404" s="242"/>
    </row>
    <row r="405" spans="7:21" x14ac:dyDescent="0.25">
      <c r="G405" s="35"/>
      <c r="H405" s="31">
        <f>VLOOKUP(I405,H411:K417,4,FALSE)</f>
        <v>1</v>
      </c>
      <c r="I405" s="243">
        <f>VLOOKUP(I406,H411:J417,1,TRUE)</f>
        <v>14.76</v>
      </c>
      <c r="J405" s="244">
        <f>VLOOKUP(I405,H411:J417,2,FALSE)</f>
        <v>0.18</v>
      </c>
      <c r="K405" s="244">
        <f>VLOOKUP(I405,H411:J417,3,FALSE)</f>
        <v>0.27</v>
      </c>
      <c r="L405" s="242"/>
      <c r="M405" s="31">
        <f>VLOOKUP(N405,M411:P417,4,FALSE)</f>
        <v>2</v>
      </c>
      <c r="N405" s="243">
        <f>VLOOKUP(N406,M411:P417,1,TRUE)</f>
        <v>20</v>
      </c>
      <c r="O405" s="244">
        <f>VLOOKUP(N405,M411:P417,2,FALSE)</f>
        <v>-0.1</v>
      </c>
      <c r="P405" s="244">
        <f>VLOOKUP(N405,M411:P417,3,FALSE)</f>
        <v>0.25</v>
      </c>
      <c r="Q405" s="242"/>
      <c r="R405" s="242"/>
      <c r="S405" s="242"/>
      <c r="T405" s="242"/>
      <c r="U405" s="242"/>
    </row>
    <row r="406" spans="7:21" x14ac:dyDescent="0.25">
      <c r="G406" s="35"/>
      <c r="H406" s="243"/>
      <c r="I406" s="32">
        <f>datos!H349</f>
        <v>19.600000000000001</v>
      </c>
      <c r="J406" s="245">
        <f>(J407-J405)/(I407-I405)*(I406-I405)+J405</f>
        <v>-7.8625954198473402E-2</v>
      </c>
      <c r="K406" s="245">
        <f>(K407-K405)/(I407-I405)*(I406-I405)+K405</f>
        <v>0.25152671755725192</v>
      </c>
      <c r="L406" s="242"/>
      <c r="M406" s="243"/>
      <c r="N406" s="32">
        <f>datos!I349</f>
        <v>20.100000000000001</v>
      </c>
      <c r="O406" s="245">
        <f>(O407-O405)/(N407-N405)*(N406-N405)+O405</f>
        <v>-0.10040000000000002</v>
      </c>
      <c r="P406" s="245">
        <f>(P407-P405)/(N407-N405)*(N406-N405)+P405</f>
        <v>0.25019999999999998</v>
      </c>
      <c r="Q406" s="242"/>
      <c r="R406" s="242"/>
      <c r="S406" s="242"/>
      <c r="T406" s="242"/>
      <c r="U406" s="242"/>
    </row>
    <row r="407" spans="7:21" x14ac:dyDescent="0.25">
      <c r="G407" s="35"/>
      <c r="H407" s="31">
        <f>H405+1</f>
        <v>2</v>
      </c>
      <c r="I407" s="243">
        <f>VLOOKUP(H405+1,G411:K417,2,FALSE)</f>
        <v>20</v>
      </c>
      <c r="J407" s="244">
        <f>VLOOKUP(I407,H411:K417,2,FALSE)</f>
        <v>-0.1</v>
      </c>
      <c r="K407" s="244">
        <f>VLOOKUP(I407,H411:K417,3,FALSE)</f>
        <v>0.25</v>
      </c>
      <c r="L407" s="242"/>
      <c r="M407" s="31">
        <f>M405+1</f>
        <v>3</v>
      </c>
      <c r="N407" s="243">
        <f>VLOOKUP(M405+1,L411:P417,2,FALSE)</f>
        <v>25</v>
      </c>
      <c r="O407" s="244">
        <f>VLOOKUP(N407,M411:P417,2,FALSE)</f>
        <v>-0.12</v>
      </c>
      <c r="P407" s="244">
        <f>VLOOKUP(N407,M411:P417,3,FALSE)</f>
        <v>0.26</v>
      </c>
      <c r="Q407" s="242"/>
      <c r="R407" s="242"/>
      <c r="S407" s="242"/>
      <c r="T407" s="242"/>
      <c r="U407" s="242"/>
    </row>
    <row r="408" spans="7:21" x14ac:dyDescent="0.25">
      <c r="G408" s="35"/>
      <c r="H408" s="242"/>
      <c r="I408" s="242"/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</row>
    <row r="409" spans="7:21" ht="15.6" x14ac:dyDescent="0.3">
      <c r="H409" s="81" t="s">
        <v>753</v>
      </c>
      <c r="I409" s="81"/>
      <c r="J409" s="81"/>
      <c r="K409" s="33"/>
      <c r="L409" s="81" t="s">
        <v>753</v>
      </c>
      <c r="M409" s="80"/>
      <c r="N409" s="80"/>
      <c r="O409" s="80"/>
      <c r="P409" s="80"/>
      <c r="Q409" s="242"/>
      <c r="R409" s="242"/>
      <c r="S409" s="242"/>
      <c r="T409" s="242"/>
      <c r="U409" s="242"/>
    </row>
    <row r="410" spans="7:21" x14ac:dyDescent="0.25">
      <c r="H410" s="30" t="s">
        <v>174</v>
      </c>
      <c r="I410" s="30" t="s">
        <v>175</v>
      </c>
      <c r="J410" s="30" t="s">
        <v>177</v>
      </c>
      <c r="K410" s="34"/>
      <c r="L410" s="34"/>
      <c r="M410" s="30" t="s">
        <v>174</v>
      </c>
      <c r="N410" s="30" t="s">
        <v>175</v>
      </c>
      <c r="O410" s="30" t="s">
        <v>177</v>
      </c>
      <c r="P410" s="34"/>
      <c r="Q410" s="242"/>
      <c r="R410" s="242"/>
      <c r="S410" s="242"/>
      <c r="T410" s="242"/>
      <c r="U410" s="242"/>
    </row>
    <row r="411" spans="7:21" ht="39.6" x14ac:dyDescent="0.25">
      <c r="G411" s="35">
        <v>1</v>
      </c>
      <c r="H411" s="416">
        <f>'1 g'!H411</f>
        <v>14.76</v>
      </c>
      <c r="I411" s="416">
        <f>'1 g'!I411</f>
        <v>0.18</v>
      </c>
      <c r="J411" s="416">
        <f>'1 g'!J411</f>
        <v>0.27</v>
      </c>
      <c r="K411" s="35">
        <v>1</v>
      </c>
      <c r="L411" s="35">
        <v>1</v>
      </c>
      <c r="M411" s="416">
        <f>'1 g'!M411</f>
        <v>14.76</v>
      </c>
      <c r="N411" s="416">
        <f>'1 g'!N411</f>
        <v>0.18</v>
      </c>
      <c r="O411" s="416">
        <f>'1 g'!O411</f>
        <v>0.27</v>
      </c>
      <c r="P411" s="35">
        <v>1</v>
      </c>
      <c r="Q411" s="242"/>
      <c r="R411" s="432" t="s">
        <v>178</v>
      </c>
      <c r="S411" s="433"/>
      <c r="T411" s="36">
        <v>2</v>
      </c>
      <c r="U411" s="242"/>
    </row>
    <row r="412" spans="7:21" x14ac:dyDescent="0.25">
      <c r="G412" s="35">
        <v>2</v>
      </c>
      <c r="H412" s="416">
        <f>'1 g'!H412</f>
        <v>20</v>
      </c>
      <c r="I412" s="416">
        <f>'1 g'!I412</f>
        <v>-0.1</v>
      </c>
      <c r="J412" s="416">
        <f>'1 g'!J412</f>
        <v>0.25</v>
      </c>
      <c r="K412" s="35">
        <v>2</v>
      </c>
      <c r="L412" s="35">
        <v>2</v>
      </c>
      <c r="M412" s="416">
        <f>'1 g'!M412</f>
        <v>20</v>
      </c>
      <c r="N412" s="416">
        <f>'1 g'!N412</f>
        <v>-0.1</v>
      </c>
      <c r="O412" s="416">
        <f>'1 g'!O412</f>
        <v>0.25</v>
      </c>
      <c r="P412" s="35">
        <v>2</v>
      </c>
      <c r="Q412" s="242"/>
      <c r="R412" s="421" t="s">
        <v>179</v>
      </c>
      <c r="S412" s="421" t="s">
        <v>180</v>
      </c>
      <c r="T412" s="242"/>
      <c r="U412" s="242"/>
    </row>
    <row r="413" spans="7:21" x14ac:dyDescent="0.25">
      <c r="G413" s="35">
        <v>3</v>
      </c>
      <c r="H413" s="416">
        <f>'1 g'!H413</f>
        <v>25</v>
      </c>
      <c r="I413" s="416">
        <f>'1 g'!I413</f>
        <v>-0.12</v>
      </c>
      <c r="J413" s="416">
        <f>'1 g'!J413</f>
        <v>0.26</v>
      </c>
      <c r="K413" s="35">
        <v>3</v>
      </c>
      <c r="L413" s="35">
        <v>3</v>
      </c>
      <c r="M413" s="416">
        <f>'1 g'!M413</f>
        <v>25</v>
      </c>
      <c r="N413" s="416">
        <f>'1 g'!N413</f>
        <v>-0.12</v>
      </c>
      <c r="O413" s="416">
        <f>'1 g'!O413</f>
        <v>0.26</v>
      </c>
      <c r="P413" s="35">
        <v>3</v>
      </c>
      <c r="Q413" s="242"/>
      <c r="R413" s="246">
        <f>I406+J406</f>
        <v>19.521374045801529</v>
      </c>
      <c r="S413" s="246">
        <f>N406+O406</f>
        <v>19.999600000000001</v>
      </c>
      <c r="T413" s="242"/>
      <c r="U413" s="242"/>
    </row>
    <row r="414" spans="7:21" x14ac:dyDescent="0.25">
      <c r="G414" s="35">
        <v>4</v>
      </c>
      <c r="H414" s="416">
        <f>'1 g'!H414</f>
        <v>30.36</v>
      </c>
      <c r="I414" s="416">
        <f>'1 g'!I414</f>
        <v>-0.34</v>
      </c>
      <c r="J414" s="416">
        <f>'1 g'!J414</f>
        <v>0.26</v>
      </c>
      <c r="K414" s="35">
        <v>4</v>
      </c>
      <c r="L414" s="35">
        <v>4</v>
      </c>
      <c r="M414" s="416">
        <f>'1 g'!M414</f>
        <v>30.36</v>
      </c>
      <c r="N414" s="416">
        <f>'1 g'!N414</f>
        <v>-0.34</v>
      </c>
      <c r="O414" s="416">
        <f>'1 g'!O414</f>
        <v>0.26</v>
      </c>
      <c r="P414" s="35">
        <v>4</v>
      </c>
      <c r="Q414" s="242"/>
      <c r="R414" s="246">
        <f>I424+J424</f>
        <v>53.130769230769232</v>
      </c>
      <c r="S414" s="246">
        <f>N424+O424</f>
        <v>53.130769230769232</v>
      </c>
      <c r="T414" s="242"/>
      <c r="U414" s="242"/>
    </row>
    <row r="415" spans="7:21" x14ac:dyDescent="0.25">
      <c r="G415" s="35">
        <v>5</v>
      </c>
      <c r="H415" s="416">
        <f>'1 g'!H415</f>
        <v>35.08</v>
      </c>
      <c r="I415" s="416">
        <f>'1 g'!I415</f>
        <v>-0.68</v>
      </c>
      <c r="J415" s="416">
        <f>'1 g'!J415</f>
        <v>0.27</v>
      </c>
      <c r="K415" s="35">
        <v>5</v>
      </c>
      <c r="L415" s="35">
        <v>5</v>
      </c>
      <c r="M415" s="416">
        <f>'1 g'!M415</f>
        <v>35.08</v>
      </c>
      <c r="N415" s="416">
        <f>'1 g'!N415</f>
        <v>-0.68</v>
      </c>
      <c r="O415" s="416">
        <f>'1 g'!O415</f>
        <v>0.27</v>
      </c>
      <c r="P415" s="35">
        <v>5</v>
      </c>
      <c r="Q415" s="242"/>
      <c r="R415" s="247">
        <f>I439+J439</f>
        <v>100099.13115411611</v>
      </c>
      <c r="S415" s="247">
        <f>N439+O439</f>
        <v>100099.13115411611</v>
      </c>
      <c r="T415" s="242"/>
      <c r="U415" s="242"/>
    </row>
    <row r="416" spans="7:21" x14ac:dyDescent="0.25">
      <c r="G416" s="35">
        <v>6</v>
      </c>
      <c r="H416" s="416"/>
      <c r="I416" s="431"/>
      <c r="J416" s="416"/>
      <c r="K416" s="35">
        <v>6</v>
      </c>
      <c r="L416" s="35">
        <v>6</v>
      </c>
      <c r="M416" s="416"/>
      <c r="N416" s="431"/>
      <c r="O416" s="416"/>
      <c r="P416" s="35">
        <v>6</v>
      </c>
      <c r="Q416" s="242"/>
      <c r="R416" s="242"/>
      <c r="S416" s="242"/>
      <c r="T416" s="242"/>
      <c r="U416" s="242"/>
    </row>
    <row r="417" spans="7:21" x14ac:dyDescent="0.25">
      <c r="G417" s="35">
        <v>7</v>
      </c>
      <c r="H417" s="416"/>
      <c r="I417" s="431"/>
      <c r="J417" s="416"/>
      <c r="K417" s="35">
        <v>7</v>
      </c>
      <c r="L417" s="35">
        <v>7</v>
      </c>
      <c r="M417" s="416"/>
      <c r="N417" s="431"/>
      <c r="O417" s="416"/>
      <c r="P417" s="35">
        <v>7</v>
      </c>
      <c r="Q417" s="242"/>
      <c r="R417" s="242"/>
      <c r="S417" s="242"/>
      <c r="T417" s="242"/>
      <c r="U417" s="242"/>
    </row>
    <row r="418" spans="7:21" x14ac:dyDescent="0.25">
      <c r="H418" s="242"/>
      <c r="I418" s="242"/>
      <c r="J418" s="242"/>
      <c r="K418" s="242"/>
      <c r="L418" s="242"/>
      <c r="M418" s="242"/>
      <c r="N418" s="242"/>
      <c r="O418" s="242"/>
      <c r="P418" s="242"/>
      <c r="Q418" s="242"/>
      <c r="R418" s="242"/>
      <c r="S418" s="242"/>
      <c r="T418" s="242"/>
      <c r="U418" s="242"/>
    </row>
    <row r="419" spans="7:21" x14ac:dyDescent="0.25">
      <c r="H419" s="242"/>
      <c r="I419" s="242"/>
      <c r="J419" s="242"/>
      <c r="K419" s="242"/>
      <c r="L419" s="242"/>
      <c r="M419" s="242"/>
      <c r="N419" s="242"/>
      <c r="O419" s="242"/>
      <c r="P419" s="242"/>
      <c r="Q419" s="242"/>
      <c r="R419" s="242"/>
      <c r="S419" s="242"/>
      <c r="T419" s="242"/>
      <c r="U419" s="242"/>
    </row>
    <row r="420" spans="7:21" x14ac:dyDescent="0.25">
      <c r="H420" s="242"/>
      <c r="I420" s="242"/>
      <c r="J420" s="242"/>
      <c r="K420" s="242"/>
      <c r="L420" s="242"/>
      <c r="M420" s="242"/>
      <c r="N420" s="242"/>
      <c r="O420" s="242"/>
      <c r="P420" s="242"/>
      <c r="Q420" s="242"/>
      <c r="R420" s="242"/>
      <c r="S420" s="242"/>
      <c r="T420" s="242"/>
      <c r="U420" s="242"/>
    </row>
    <row r="421" spans="7:21" ht="15.6" x14ac:dyDescent="0.3">
      <c r="H421" s="80" t="s">
        <v>187</v>
      </c>
      <c r="I421" s="80"/>
      <c r="J421" s="80"/>
      <c r="K421" s="80"/>
      <c r="L421" s="242"/>
      <c r="M421" s="80" t="s">
        <v>187</v>
      </c>
      <c r="N421" s="80"/>
      <c r="O421" s="80"/>
      <c r="P421" s="80"/>
      <c r="Q421" s="242"/>
      <c r="R421" s="242"/>
      <c r="S421" s="242"/>
      <c r="T421" s="242"/>
      <c r="U421" s="242"/>
    </row>
    <row r="422" spans="7:21" x14ac:dyDescent="0.25">
      <c r="H422" s="28" t="s">
        <v>173</v>
      </c>
      <c r="I422" s="29" t="s">
        <v>182</v>
      </c>
      <c r="J422" s="30" t="s">
        <v>175</v>
      </c>
      <c r="K422" s="29" t="s">
        <v>176</v>
      </c>
      <c r="L422" s="242"/>
      <c r="M422" s="28" t="s">
        <v>173</v>
      </c>
      <c r="N422" s="29" t="s">
        <v>182</v>
      </c>
      <c r="O422" s="30" t="s">
        <v>175</v>
      </c>
      <c r="P422" s="29" t="s">
        <v>176</v>
      </c>
      <c r="Q422" s="242"/>
      <c r="R422" s="242"/>
      <c r="S422" s="242"/>
      <c r="T422" s="242"/>
      <c r="U422" s="242"/>
    </row>
    <row r="423" spans="7:21" x14ac:dyDescent="0.25">
      <c r="H423" s="31">
        <f>VLOOKUP(I423,H429:K433,4,FALSE)</f>
        <v>1</v>
      </c>
      <c r="I423" s="243">
        <f>VLOOKUP(I424,H429:K433,1,TRUE)</f>
        <v>41.3</v>
      </c>
      <c r="J423" s="248">
        <f>VLOOKUP(I423,H429:J433,2,FALSE)</f>
        <v>2.2999999999999998</v>
      </c>
      <c r="K423" s="248">
        <f>VLOOKUP(I423,H411:K433,3,FALSE)</f>
        <v>1.3</v>
      </c>
      <c r="L423" s="242"/>
      <c r="M423" s="31">
        <f>VLOOKUP(N423,M429:P433,4,FALSE)</f>
        <v>1</v>
      </c>
      <c r="N423" s="243">
        <f>VLOOKUP(N424,M429:P433,1,TRUE)</f>
        <v>41.3</v>
      </c>
      <c r="O423" s="248">
        <f>VLOOKUP(N423,M429:P433,2,FALSE)</f>
        <v>2.2999999999999998</v>
      </c>
      <c r="P423" s="248">
        <f>VLOOKUP(N423,M429:P433,3,FALSE)</f>
        <v>1.3</v>
      </c>
      <c r="Q423" s="242"/>
      <c r="R423" s="242"/>
      <c r="S423" s="242"/>
      <c r="T423" s="242"/>
      <c r="U423" s="242"/>
    </row>
    <row r="424" spans="7:21" x14ac:dyDescent="0.25">
      <c r="H424" s="243"/>
      <c r="I424" s="32">
        <f>datos!H350</f>
        <v>51.1</v>
      </c>
      <c r="J424" s="249">
        <f>(J425-J423)/(I425-I423)*(I424-I423)+J423</f>
        <v>2.0307692307692307</v>
      </c>
      <c r="K424" s="249">
        <f>(K425-K423)/(I425-I423)*(I424-I423)+K423</f>
        <v>1.3</v>
      </c>
      <c r="L424" s="242"/>
      <c r="M424" s="243"/>
      <c r="N424" s="32">
        <f>datos!H350</f>
        <v>51.1</v>
      </c>
      <c r="O424" s="249">
        <f>(O425-O423)/(N425-N423)*(N424-N423)+O423</f>
        <v>2.0307692307692307</v>
      </c>
      <c r="P424" s="249">
        <f>(P425-P423)/(O425-O423)*(O424-O423)+P423</f>
        <v>1.3</v>
      </c>
      <c r="Q424" s="242"/>
      <c r="R424" s="242"/>
      <c r="S424" s="242"/>
      <c r="T424" s="242"/>
      <c r="U424" s="242"/>
    </row>
    <row r="425" spans="7:21" x14ac:dyDescent="0.25">
      <c r="H425" s="31">
        <f>H423+1</f>
        <v>2</v>
      </c>
      <c r="I425" s="243">
        <f>VLOOKUP(H423+1,G429:J433,2,FALSE)</f>
        <v>59.5</v>
      </c>
      <c r="J425" s="248">
        <f>VLOOKUP(I425,H429:K433,2,FALSE)</f>
        <v>1.8</v>
      </c>
      <c r="K425" s="248">
        <f>VLOOKUP(I425,H429:K433,3,FALSE)</f>
        <v>1.3</v>
      </c>
      <c r="L425" s="242"/>
      <c r="M425" s="31">
        <f>M423+1</f>
        <v>2</v>
      </c>
      <c r="N425" s="243">
        <f>VLOOKUP(M423+1,L429:O433,2,FALSE)</f>
        <v>59.5</v>
      </c>
      <c r="O425" s="248">
        <f>VLOOKUP(N425,M429:P433,2,FALSE)</f>
        <v>1.8</v>
      </c>
      <c r="P425" s="248">
        <f>VLOOKUP(N425,M429:P433,3,FALSE)</f>
        <v>1.3</v>
      </c>
      <c r="Q425" s="242"/>
      <c r="R425" s="242"/>
      <c r="S425" s="242"/>
      <c r="T425" s="242"/>
      <c r="U425" s="242"/>
    </row>
    <row r="426" spans="7:21" x14ac:dyDescent="0.25">
      <c r="H426" s="242"/>
      <c r="I426" s="242"/>
      <c r="J426" s="242"/>
      <c r="K426" s="242"/>
      <c r="L426" s="242"/>
      <c r="M426" s="242"/>
      <c r="N426" s="242"/>
      <c r="O426" s="242"/>
      <c r="P426" s="242"/>
      <c r="Q426" s="242"/>
      <c r="R426" s="242"/>
      <c r="S426" s="242"/>
      <c r="T426" s="242"/>
      <c r="U426" s="242"/>
    </row>
    <row r="427" spans="7:21" ht="15.6" x14ac:dyDescent="0.3">
      <c r="G427" s="424"/>
      <c r="H427" s="434" t="s">
        <v>187</v>
      </c>
      <c r="I427" s="434"/>
      <c r="J427" s="434"/>
      <c r="K427" s="434"/>
      <c r="L427" s="425"/>
      <c r="M427" s="434" t="s">
        <v>181</v>
      </c>
      <c r="N427" s="434"/>
      <c r="O427" s="434"/>
      <c r="P427" s="434"/>
      <c r="Q427" s="242"/>
      <c r="R427" s="242"/>
      <c r="S427" s="242"/>
      <c r="T427" s="242"/>
      <c r="U427" s="242"/>
    </row>
    <row r="428" spans="7:21" x14ac:dyDescent="0.25">
      <c r="G428" s="424"/>
      <c r="H428" s="30" t="s">
        <v>183</v>
      </c>
      <c r="I428" s="30" t="s">
        <v>6</v>
      </c>
      <c r="J428" s="30" t="s">
        <v>177</v>
      </c>
      <c r="K428" s="427"/>
      <c r="L428" s="427"/>
      <c r="M428" s="30" t="s">
        <v>183</v>
      </c>
      <c r="N428" s="30" t="s">
        <v>6</v>
      </c>
      <c r="O428" s="30" t="s">
        <v>177</v>
      </c>
      <c r="P428" s="427"/>
      <c r="Q428" s="242"/>
      <c r="R428" s="242"/>
      <c r="S428" s="242"/>
      <c r="T428" s="242"/>
      <c r="U428" s="242"/>
    </row>
    <row r="429" spans="7:21" x14ac:dyDescent="0.25">
      <c r="G429" s="428">
        <v>1</v>
      </c>
      <c r="H429" s="515">
        <v>41.3</v>
      </c>
      <c r="I429" s="515">
        <v>2.2999999999999998</v>
      </c>
      <c r="J429" s="515">
        <v>1.3</v>
      </c>
      <c r="K429" s="428">
        <v>1</v>
      </c>
      <c r="L429" s="428">
        <v>1</v>
      </c>
      <c r="M429" s="515">
        <v>41.3</v>
      </c>
      <c r="N429" s="515">
        <v>2.2999999999999998</v>
      </c>
      <c r="O429" s="515">
        <v>1.3</v>
      </c>
      <c r="P429" s="428">
        <v>1</v>
      </c>
      <c r="Q429" s="242"/>
      <c r="R429" s="242"/>
      <c r="S429" s="242"/>
      <c r="T429" s="242"/>
      <c r="U429" s="242"/>
    </row>
    <row r="430" spans="7:21" x14ac:dyDescent="0.25">
      <c r="G430" s="428">
        <v>2</v>
      </c>
      <c r="H430" s="515">
        <v>59.5</v>
      </c>
      <c r="I430" s="515">
        <v>1.8</v>
      </c>
      <c r="J430" s="515">
        <v>1.3</v>
      </c>
      <c r="K430" s="428">
        <v>2</v>
      </c>
      <c r="L430" s="428">
        <v>2</v>
      </c>
      <c r="M430" s="515">
        <v>59.5</v>
      </c>
      <c r="N430" s="515">
        <v>1.8</v>
      </c>
      <c r="O430" s="515">
        <v>1.3</v>
      </c>
      <c r="P430" s="428">
        <v>2</v>
      </c>
      <c r="Q430" s="242"/>
      <c r="R430" s="242"/>
      <c r="S430" s="242"/>
      <c r="T430" s="242"/>
      <c r="U430" s="242"/>
    </row>
    <row r="431" spans="7:21" x14ac:dyDescent="0.25">
      <c r="G431" s="428">
        <v>3</v>
      </c>
      <c r="H431" s="515">
        <v>84.9</v>
      </c>
      <c r="I431" s="515">
        <v>0.6</v>
      </c>
      <c r="J431" s="515">
        <v>1.3</v>
      </c>
      <c r="K431" s="428">
        <v>3</v>
      </c>
      <c r="L431" s="428">
        <v>3</v>
      </c>
      <c r="M431" s="515">
        <v>84.9</v>
      </c>
      <c r="N431" s="515">
        <v>0.6</v>
      </c>
      <c r="O431" s="515">
        <v>1.3</v>
      </c>
      <c r="P431" s="428">
        <v>3</v>
      </c>
      <c r="Q431" s="242"/>
      <c r="R431" s="242"/>
      <c r="S431" s="242"/>
      <c r="T431" s="242"/>
      <c r="U431" s="242"/>
    </row>
    <row r="432" spans="7:21" x14ac:dyDescent="0.25">
      <c r="G432" s="428">
        <v>4</v>
      </c>
      <c r="H432" s="435">
        <v>69.2</v>
      </c>
      <c r="I432" s="435">
        <v>1.8</v>
      </c>
      <c r="J432" s="435">
        <v>1.6</v>
      </c>
      <c r="K432" s="428">
        <v>4</v>
      </c>
      <c r="L432" s="428">
        <v>4</v>
      </c>
      <c r="M432" s="435">
        <v>69.2</v>
      </c>
      <c r="N432" s="435">
        <v>1.8</v>
      </c>
      <c r="O432" s="435">
        <v>1.6</v>
      </c>
      <c r="P432" s="428">
        <v>4</v>
      </c>
      <c r="Q432" s="242"/>
      <c r="R432" s="242"/>
      <c r="S432" s="242"/>
      <c r="T432" s="242"/>
      <c r="U432" s="242"/>
    </row>
    <row r="433" spans="7:21" x14ac:dyDescent="0.25">
      <c r="G433" s="428">
        <v>5</v>
      </c>
      <c r="H433" s="436">
        <v>80.5</v>
      </c>
      <c r="I433" s="437">
        <v>0.5</v>
      </c>
      <c r="J433" s="435">
        <v>1.6</v>
      </c>
      <c r="K433" s="428">
        <v>5</v>
      </c>
      <c r="L433" s="428">
        <v>5</v>
      </c>
      <c r="M433" s="436">
        <v>80.5</v>
      </c>
      <c r="N433" s="437">
        <v>0.5</v>
      </c>
      <c r="O433" s="435">
        <v>1.6</v>
      </c>
      <c r="P433" s="428">
        <v>5</v>
      </c>
      <c r="Q433" s="242"/>
      <c r="R433" s="242"/>
      <c r="S433" s="242"/>
      <c r="T433" s="242"/>
      <c r="U433" s="242"/>
    </row>
    <row r="434" spans="7:21" x14ac:dyDescent="0.25">
      <c r="G434" s="424"/>
      <c r="H434" s="425"/>
      <c r="I434" s="425"/>
      <c r="J434" s="425"/>
      <c r="K434" s="425"/>
      <c r="L434" s="425"/>
      <c r="M434" s="425"/>
      <c r="N434" s="425"/>
      <c r="O434" s="425"/>
      <c r="P434" s="425"/>
      <c r="Q434" s="242"/>
      <c r="R434" s="242"/>
      <c r="S434" s="242"/>
      <c r="T434" s="242"/>
      <c r="U434" s="242"/>
    </row>
    <row r="435" spans="7:21" x14ac:dyDescent="0.25">
      <c r="G435" s="424"/>
      <c r="H435" s="425"/>
      <c r="I435" s="425"/>
      <c r="J435" s="425"/>
      <c r="K435" s="425"/>
      <c r="L435" s="425"/>
      <c r="M435" s="425"/>
      <c r="N435" s="425"/>
      <c r="O435" s="425"/>
      <c r="P435" s="425"/>
      <c r="Q435" s="242"/>
      <c r="R435" s="242"/>
      <c r="S435" s="242"/>
      <c r="T435" s="242"/>
      <c r="U435" s="242"/>
    </row>
    <row r="436" spans="7:21" ht="15.6" x14ac:dyDescent="0.3">
      <c r="G436" s="424"/>
      <c r="H436" s="438" t="s">
        <v>188</v>
      </c>
      <c r="I436" s="438"/>
      <c r="J436" s="438"/>
      <c r="K436" s="438"/>
      <c r="L436" s="425"/>
      <c r="M436" s="438" t="s">
        <v>188</v>
      </c>
      <c r="N436" s="438"/>
      <c r="O436" s="438"/>
      <c r="P436" s="438"/>
      <c r="Q436" s="242"/>
      <c r="R436" s="242"/>
      <c r="S436" s="242"/>
      <c r="T436" s="242"/>
      <c r="U436" s="242"/>
    </row>
    <row r="437" spans="7:21" x14ac:dyDescent="0.25">
      <c r="G437" s="424"/>
      <c r="H437" s="439" t="s">
        <v>173</v>
      </c>
      <c r="I437" s="440" t="s">
        <v>184</v>
      </c>
      <c r="J437" s="426" t="s">
        <v>175</v>
      </c>
      <c r="K437" s="440" t="s">
        <v>176</v>
      </c>
      <c r="L437" s="425"/>
      <c r="M437" s="439" t="s">
        <v>173</v>
      </c>
      <c r="N437" s="440" t="s">
        <v>184</v>
      </c>
      <c r="O437" s="426" t="s">
        <v>175</v>
      </c>
      <c r="P437" s="440" t="s">
        <v>176</v>
      </c>
      <c r="Q437" s="242"/>
      <c r="R437" s="242"/>
      <c r="S437" s="242"/>
      <c r="T437" s="242"/>
      <c r="U437" s="242"/>
    </row>
    <row r="438" spans="7:21" x14ac:dyDescent="0.25">
      <c r="G438" s="424"/>
      <c r="H438" s="423">
        <f>VLOOKUP(I438,H443:K449,4,FALSE)</f>
        <v>6</v>
      </c>
      <c r="I438" s="429">
        <f>VLOOKUP(I439,H443:K449,1,TRUE)</f>
        <v>99773</v>
      </c>
      <c r="J438" s="441">
        <f>VLOOKUP(I438,H443:K449,2,FALSE)</f>
        <v>-1</v>
      </c>
      <c r="K438" s="441">
        <f>VLOOKUP(I438,H443:K449,3,FALSE)</f>
        <v>4</v>
      </c>
      <c r="L438" s="425"/>
      <c r="M438" s="423">
        <f>VLOOKUP(N438,M443:P449,4,FALSE)</f>
        <v>6</v>
      </c>
      <c r="N438" s="429">
        <f>VLOOKUP(N439,M443:P449,1,TRUE)</f>
        <v>99773</v>
      </c>
      <c r="O438" s="441">
        <f>VLOOKUP(N438,M443:P449,2,FALSE)</f>
        <v>-1</v>
      </c>
      <c r="P438" s="441">
        <f>VLOOKUP(N438,M443:P449,3,FALSE)</f>
        <v>4</v>
      </c>
      <c r="Q438" s="242"/>
      <c r="R438" s="242"/>
      <c r="S438" s="242"/>
      <c r="T438" s="242"/>
      <c r="U438" s="242"/>
    </row>
    <row r="439" spans="7:21" x14ac:dyDescent="0.25">
      <c r="G439" s="424"/>
      <c r="H439" s="423"/>
      <c r="I439" s="429">
        <f>datos!H351*100</f>
        <v>100100</v>
      </c>
      <c r="J439" s="441">
        <f>(J440-J438)/(I440-I438)*(I439-I438)+J438</f>
        <v>-0.86884588388649353</v>
      </c>
      <c r="K439" s="441">
        <f>(K440-K438)/(I440-I438)*(I439-I438)+K438</f>
        <v>4</v>
      </c>
      <c r="L439" s="425"/>
      <c r="M439" s="423"/>
      <c r="N439" s="429">
        <f>datos!I351*100</f>
        <v>100100</v>
      </c>
      <c r="O439" s="441">
        <f>(O440-O438)/(N440-N438)*(N439-N438)+O438</f>
        <v>-0.86884588388649353</v>
      </c>
      <c r="P439" s="441">
        <f>(P440-P438)/(N440-N438)*(N439-N438)+P438</f>
        <v>4</v>
      </c>
      <c r="Q439" s="242"/>
      <c r="R439" s="242"/>
      <c r="S439" s="242"/>
      <c r="T439" s="242"/>
      <c r="U439" s="242"/>
    </row>
    <row r="440" spans="7:21" x14ac:dyDescent="0.25">
      <c r="G440" s="424"/>
      <c r="H440" s="423">
        <f>H438+1</f>
        <v>7</v>
      </c>
      <c r="I440" s="429">
        <f>VLOOKUP(H438+1,G443:J449,2,FALSE)</f>
        <v>109746</v>
      </c>
      <c r="J440" s="441">
        <f>VLOOKUP(I440,H443:K449,2,FALSE)</f>
        <v>3</v>
      </c>
      <c r="K440" s="441">
        <f>VLOOKUP(I440,H443:K449,3,FALSE)</f>
        <v>4</v>
      </c>
      <c r="L440" s="425"/>
      <c r="M440" s="423">
        <f>M438+1</f>
        <v>7</v>
      </c>
      <c r="N440" s="429">
        <f>VLOOKUP(M438+1,L443:O449,2,FALSE)</f>
        <v>109746</v>
      </c>
      <c r="O440" s="441">
        <f>VLOOKUP(N440,M443:P449,2,FALSE)</f>
        <v>3</v>
      </c>
      <c r="P440" s="441">
        <f>VLOOKUP(N440,M443:P449,3,FALSE)</f>
        <v>4</v>
      </c>
      <c r="Q440" s="242"/>
      <c r="R440" s="242"/>
      <c r="S440" s="242"/>
      <c r="T440" s="242"/>
      <c r="U440" s="242"/>
    </row>
    <row r="441" spans="7:21" x14ac:dyDescent="0.25">
      <c r="G441" s="424"/>
      <c r="H441" s="425"/>
      <c r="I441" s="425"/>
      <c r="J441" s="425"/>
      <c r="K441" s="425"/>
      <c r="L441" s="425"/>
      <c r="M441" s="425"/>
      <c r="N441" s="425"/>
      <c r="O441" s="425"/>
      <c r="P441" s="425"/>
      <c r="Q441" s="242"/>
      <c r="R441" s="242"/>
      <c r="S441" s="242"/>
      <c r="T441" s="242"/>
      <c r="U441" s="242"/>
    </row>
    <row r="442" spans="7:21" x14ac:dyDescent="0.25">
      <c r="G442" s="424"/>
      <c r="H442" s="426" t="s">
        <v>185</v>
      </c>
      <c r="I442" s="426" t="s">
        <v>175</v>
      </c>
      <c r="J442" s="426" t="s">
        <v>177</v>
      </c>
      <c r="K442" s="427"/>
      <c r="L442" s="427"/>
      <c r="M442" s="426" t="s">
        <v>185</v>
      </c>
      <c r="N442" s="426" t="s">
        <v>175</v>
      </c>
      <c r="O442" s="426" t="s">
        <v>177</v>
      </c>
      <c r="P442" s="427"/>
      <c r="Q442" s="242"/>
      <c r="R442" s="242"/>
      <c r="S442" s="242"/>
      <c r="T442" s="242"/>
      <c r="U442" s="242"/>
    </row>
    <row r="443" spans="7:21" x14ac:dyDescent="0.25">
      <c r="G443" s="428">
        <v>1</v>
      </c>
      <c r="H443" s="429">
        <v>49882</v>
      </c>
      <c r="I443" s="423">
        <v>4</v>
      </c>
      <c r="J443" s="423">
        <v>4</v>
      </c>
      <c r="K443" s="428">
        <v>1</v>
      </c>
      <c r="L443" s="428">
        <v>1</v>
      </c>
      <c r="M443" s="430">
        <v>49882</v>
      </c>
      <c r="N443" s="423">
        <v>4</v>
      </c>
      <c r="O443" s="423">
        <v>4</v>
      </c>
      <c r="P443" s="428">
        <v>1</v>
      </c>
      <c r="Q443" s="242"/>
      <c r="R443" s="242"/>
      <c r="S443" s="242"/>
      <c r="T443" s="242"/>
      <c r="U443" s="242"/>
    </row>
    <row r="444" spans="7:21" x14ac:dyDescent="0.25">
      <c r="G444" s="428">
        <v>2</v>
      </c>
      <c r="H444" s="429">
        <v>59861</v>
      </c>
      <c r="I444" s="423">
        <v>2</v>
      </c>
      <c r="J444" s="423">
        <v>4</v>
      </c>
      <c r="K444" s="428">
        <v>2</v>
      </c>
      <c r="L444" s="428">
        <v>2</v>
      </c>
      <c r="M444" s="429">
        <v>59861</v>
      </c>
      <c r="N444" s="423">
        <v>2</v>
      </c>
      <c r="O444" s="423">
        <v>4</v>
      </c>
      <c r="P444" s="428">
        <v>2</v>
      </c>
      <c r="Q444" s="242"/>
      <c r="R444" s="242"/>
      <c r="S444" s="242"/>
      <c r="T444" s="242"/>
      <c r="U444" s="242"/>
    </row>
    <row r="445" spans="7:21" x14ac:dyDescent="0.25">
      <c r="G445" s="428">
        <v>3</v>
      </c>
      <c r="H445" s="429">
        <v>69839</v>
      </c>
      <c r="I445" s="423">
        <v>2</v>
      </c>
      <c r="J445" s="423">
        <v>4</v>
      </c>
      <c r="K445" s="428">
        <v>3</v>
      </c>
      <c r="L445" s="428">
        <v>3</v>
      </c>
      <c r="M445" s="429">
        <v>69839</v>
      </c>
      <c r="N445" s="423">
        <v>2</v>
      </c>
      <c r="O445" s="423">
        <v>4</v>
      </c>
      <c r="P445" s="428">
        <v>3</v>
      </c>
      <c r="Q445" s="242"/>
      <c r="R445" s="242"/>
      <c r="S445" s="242"/>
      <c r="T445" s="242"/>
      <c r="U445" s="242"/>
    </row>
    <row r="446" spans="7:21" x14ac:dyDescent="0.25">
      <c r="G446" s="428">
        <v>4</v>
      </c>
      <c r="H446" s="429">
        <v>79816</v>
      </c>
      <c r="I446" s="423">
        <v>2</v>
      </c>
      <c r="J446" s="423">
        <v>4</v>
      </c>
      <c r="K446" s="428">
        <v>4</v>
      </c>
      <c r="L446" s="428">
        <v>4</v>
      </c>
      <c r="M446" s="429">
        <v>79816</v>
      </c>
      <c r="N446" s="423">
        <v>2</v>
      </c>
      <c r="O446" s="423">
        <v>4</v>
      </c>
      <c r="P446" s="428">
        <v>4</v>
      </c>
      <c r="Q446" s="242"/>
      <c r="R446" s="242"/>
      <c r="S446" s="242"/>
      <c r="T446" s="242"/>
      <c r="U446" s="242"/>
    </row>
    <row r="447" spans="7:21" x14ac:dyDescent="0.25">
      <c r="G447" s="428">
        <v>5</v>
      </c>
      <c r="H447" s="429">
        <v>89773</v>
      </c>
      <c r="I447" s="423">
        <v>0</v>
      </c>
      <c r="J447" s="423">
        <v>4</v>
      </c>
      <c r="K447" s="428">
        <v>5</v>
      </c>
      <c r="L447" s="428">
        <v>5</v>
      </c>
      <c r="M447" s="429">
        <v>89773</v>
      </c>
      <c r="N447" s="423">
        <v>0</v>
      </c>
      <c r="O447" s="423">
        <v>4</v>
      </c>
      <c r="P447" s="428">
        <v>5</v>
      </c>
      <c r="Q447" s="242"/>
      <c r="R447" s="242"/>
      <c r="S447" s="242"/>
      <c r="T447" s="242"/>
      <c r="U447" s="242"/>
    </row>
    <row r="448" spans="7:21" x14ac:dyDescent="0.25">
      <c r="G448" s="428">
        <v>6</v>
      </c>
      <c r="H448" s="429">
        <v>99773</v>
      </c>
      <c r="I448" s="423">
        <v>-1</v>
      </c>
      <c r="J448" s="423">
        <v>4</v>
      </c>
      <c r="K448" s="428">
        <v>6</v>
      </c>
      <c r="L448" s="428">
        <v>6</v>
      </c>
      <c r="M448" s="429">
        <v>99773</v>
      </c>
      <c r="N448" s="423">
        <v>-1</v>
      </c>
      <c r="O448" s="423">
        <v>4</v>
      </c>
      <c r="P448" s="428">
        <v>6</v>
      </c>
      <c r="Q448" s="242"/>
      <c r="R448" s="242"/>
      <c r="S448" s="242"/>
      <c r="T448" s="242"/>
      <c r="U448" s="242"/>
    </row>
    <row r="449" spans="7:21" x14ac:dyDescent="0.25">
      <c r="G449" s="428">
        <v>7</v>
      </c>
      <c r="H449" s="429">
        <v>109746</v>
      </c>
      <c r="I449" s="423">
        <v>3</v>
      </c>
      <c r="J449" s="423">
        <v>4</v>
      </c>
      <c r="K449" s="428">
        <v>7</v>
      </c>
      <c r="L449" s="428">
        <v>7</v>
      </c>
      <c r="M449" s="429">
        <v>109746</v>
      </c>
      <c r="N449" s="423">
        <v>3</v>
      </c>
      <c r="O449" s="423">
        <v>4</v>
      </c>
      <c r="P449" s="428">
        <v>7</v>
      </c>
      <c r="Q449" s="242"/>
      <c r="R449" s="242"/>
      <c r="S449" s="242"/>
      <c r="T449" s="242"/>
      <c r="U449" s="242"/>
    </row>
    <row r="450" spans="7:21" x14ac:dyDescent="0.25">
      <c r="G450" s="424"/>
      <c r="H450" s="425"/>
      <c r="I450" s="425"/>
      <c r="J450" s="425"/>
      <c r="K450" s="425"/>
      <c r="L450" s="425"/>
      <c r="M450" s="425"/>
      <c r="N450" s="425"/>
      <c r="O450" s="425"/>
      <c r="P450" s="425"/>
      <c r="Q450" s="242"/>
      <c r="R450" s="242"/>
      <c r="S450" s="242"/>
      <c r="T450" s="242"/>
      <c r="U450" s="242"/>
    </row>
    <row r="454" spans="7:21" ht="21" x14ac:dyDescent="0.4">
      <c r="H454" s="695" t="s">
        <v>739</v>
      </c>
      <c r="I454" s="695"/>
      <c r="J454" s="695"/>
      <c r="K454" s="695"/>
      <c r="L454" s="695"/>
      <c r="M454" s="695"/>
      <c r="N454" s="695"/>
      <c r="O454" s="695"/>
      <c r="P454" s="695"/>
      <c r="Q454" s="242"/>
      <c r="R454" s="242"/>
      <c r="S454" s="242"/>
      <c r="T454" s="242"/>
      <c r="U454" s="242"/>
    </row>
    <row r="455" spans="7:21" x14ac:dyDescent="0.25"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</row>
    <row r="456" spans="7:21" ht="15.6" x14ac:dyDescent="0.3">
      <c r="H456" s="81" t="s">
        <v>186</v>
      </c>
      <c r="I456" s="81"/>
      <c r="J456" s="81"/>
      <c r="K456" s="81"/>
      <c r="L456" s="242"/>
      <c r="M456" s="81" t="s">
        <v>186</v>
      </c>
      <c r="N456" s="81"/>
      <c r="O456" s="81"/>
      <c r="P456" s="81"/>
      <c r="Q456" s="242"/>
      <c r="R456" s="242"/>
      <c r="S456" s="242"/>
      <c r="T456" s="242"/>
      <c r="U456" s="242"/>
    </row>
    <row r="457" spans="7:21" x14ac:dyDescent="0.25">
      <c r="H457" s="28" t="s">
        <v>173</v>
      </c>
      <c r="I457" s="29" t="s">
        <v>174</v>
      </c>
      <c r="J457" s="30" t="s">
        <v>175</v>
      </c>
      <c r="K457" s="29" t="s">
        <v>176</v>
      </c>
      <c r="L457" s="242"/>
      <c r="M457" s="28" t="s">
        <v>173</v>
      </c>
      <c r="N457" s="29" t="s">
        <v>174</v>
      </c>
      <c r="O457" s="30" t="s">
        <v>175</v>
      </c>
      <c r="P457" s="29" t="s">
        <v>176</v>
      </c>
      <c r="Q457" s="242"/>
      <c r="R457" s="242"/>
      <c r="S457" s="242"/>
      <c r="T457" s="242"/>
      <c r="U457" s="242"/>
    </row>
    <row r="458" spans="7:21" x14ac:dyDescent="0.25">
      <c r="H458" s="31">
        <f>VLOOKUP(I458,H464:K470,4,FALSE)</f>
        <v>1</v>
      </c>
      <c r="I458" s="243">
        <f>VLOOKUP(I459,H464:J470,1,TRUE)</f>
        <v>14.76</v>
      </c>
      <c r="J458" s="244">
        <f>VLOOKUP(I458,H464:J470,2,FALSE)</f>
        <v>-0.1</v>
      </c>
      <c r="K458" s="244">
        <f>VLOOKUP(I458,H464:J470,3,FALSE)</f>
        <v>0.25</v>
      </c>
      <c r="L458" s="242"/>
      <c r="M458" s="31">
        <f>VLOOKUP(N458,M464:P470,4,FALSE)</f>
        <v>2</v>
      </c>
      <c r="N458" s="243">
        <f>VLOOKUP(N459,M464:P470,1,TRUE)</f>
        <v>20</v>
      </c>
      <c r="O458" s="244">
        <f>VLOOKUP(N458,M464:P470,2,FALSE)</f>
        <v>-0.08</v>
      </c>
      <c r="P458" s="244">
        <f>VLOOKUP(N458,M464:P470,3,FALSE)</f>
        <v>0.26</v>
      </c>
      <c r="Q458" s="242"/>
      <c r="R458" s="242"/>
      <c r="S458" s="242"/>
      <c r="T458" s="242"/>
      <c r="U458" s="242"/>
    </row>
    <row r="459" spans="7:21" x14ac:dyDescent="0.25">
      <c r="H459" s="243"/>
      <c r="I459" s="32">
        <f>datos!H349</f>
        <v>19.600000000000001</v>
      </c>
      <c r="J459" s="245">
        <f>(J460-J458)/(I460-I458)*(I459-I458)+J458</f>
        <v>-8.152671755725191E-2</v>
      </c>
      <c r="K459" s="245">
        <f>(K460-K458)/(I460-I458)*(I459-I458)+K458</f>
        <v>0.25923664122137408</v>
      </c>
      <c r="L459" s="242"/>
      <c r="M459" s="243"/>
      <c r="N459" s="32">
        <f>datos!I349</f>
        <v>20.100000000000001</v>
      </c>
      <c r="O459" s="245">
        <f>(O460-O458)/(N460-N458)*(N459-N458)+O458</f>
        <v>-8.5200000000000081E-2</v>
      </c>
      <c r="P459" s="245">
        <f>(P460-P458)/(N460-N458)*(N459-N458)+P458</f>
        <v>0.26320000000000005</v>
      </c>
      <c r="Q459" s="242"/>
      <c r="R459" s="242"/>
      <c r="S459" s="242"/>
      <c r="T459" s="242"/>
      <c r="U459" s="242"/>
    </row>
    <row r="460" spans="7:21" x14ac:dyDescent="0.25">
      <c r="H460" s="31">
        <f>H458+1</f>
        <v>2</v>
      </c>
      <c r="I460" s="243">
        <f>VLOOKUP(H458+1,G464:K470,2,FALSE)</f>
        <v>20</v>
      </c>
      <c r="J460" s="244">
        <f>VLOOKUP(I460,H464:K470,2,FALSE)</f>
        <v>-0.08</v>
      </c>
      <c r="K460" s="244">
        <f>VLOOKUP(I460,H464:K470,3,FALSE)</f>
        <v>0.26</v>
      </c>
      <c r="L460" s="242"/>
      <c r="M460" s="31">
        <f>M458+1</f>
        <v>3</v>
      </c>
      <c r="N460" s="243">
        <f>VLOOKUP(M458+1,L464:P470,2,FALSE)</f>
        <v>25</v>
      </c>
      <c r="O460" s="244">
        <f>VLOOKUP(N460,M464:P470,2,FALSE)</f>
        <v>-0.34</v>
      </c>
      <c r="P460" s="244">
        <f>VLOOKUP(N460,M464:P470,3,FALSE)</f>
        <v>0.42</v>
      </c>
      <c r="Q460" s="242"/>
      <c r="R460" s="242"/>
      <c r="S460" s="242"/>
      <c r="T460" s="242"/>
      <c r="U460" s="242"/>
    </row>
    <row r="461" spans="7:21" x14ac:dyDescent="0.25">
      <c r="H461" s="242"/>
      <c r="I461" s="242"/>
      <c r="J461" s="242"/>
      <c r="K461" s="242"/>
      <c r="L461" s="242"/>
      <c r="M461" s="242"/>
      <c r="N461" s="242"/>
      <c r="O461" s="242"/>
      <c r="P461" s="242"/>
      <c r="Q461" s="242"/>
      <c r="R461" s="242"/>
      <c r="S461" s="242"/>
      <c r="T461" s="242"/>
      <c r="U461" s="242"/>
    </row>
    <row r="462" spans="7:21" ht="15.6" x14ac:dyDescent="0.3">
      <c r="H462" s="81" t="s">
        <v>740</v>
      </c>
      <c r="I462" s="81"/>
      <c r="J462" s="81"/>
      <c r="K462" s="33"/>
      <c r="L462" s="81" t="s">
        <v>740</v>
      </c>
      <c r="M462" s="80"/>
      <c r="N462" s="80"/>
      <c r="O462" s="80"/>
      <c r="P462" s="80"/>
      <c r="Q462" s="242"/>
      <c r="R462" s="242"/>
      <c r="S462" s="242"/>
      <c r="T462" s="242"/>
      <c r="U462" s="242"/>
    </row>
    <row r="463" spans="7:21" x14ac:dyDescent="0.25">
      <c r="H463" s="30" t="s">
        <v>174</v>
      </c>
      <c r="I463" s="30" t="s">
        <v>175</v>
      </c>
      <c r="J463" s="30" t="s">
        <v>177</v>
      </c>
      <c r="K463" s="34"/>
      <c r="L463" s="34"/>
      <c r="M463" s="30" t="s">
        <v>174</v>
      </c>
      <c r="N463" s="30" t="s">
        <v>175</v>
      </c>
      <c r="O463" s="30" t="s">
        <v>177</v>
      </c>
      <c r="P463" s="34"/>
      <c r="Q463" s="242"/>
      <c r="R463" s="242"/>
      <c r="S463" s="242"/>
      <c r="T463" s="242"/>
      <c r="U463" s="242"/>
    </row>
    <row r="464" spans="7:21" ht="39.6" x14ac:dyDescent="0.25">
      <c r="G464" s="35">
        <v>1</v>
      </c>
      <c r="H464" s="416">
        <f>'1 g'!H464</f>
        <v>14.76</v>
      </c>
      <c r="I464" s="416">
        <f>'1 g'!I464</f>
        <v>-0.1</v>
      </c>
      <c r="J464" s="416">
        <f>'1 g'!J464</f>
        <v>0.25</v>
      </c>
      <c r="K464" s="35">
        <v>1</v>
      </c>
      <c r="L464" s="35">
        <v>1</v>
      </c>
      <c r="M464" s="416">
        <f>'1 g'!M464</f>
        <v>14.76</v>
      </c>
      <c r="N464" s="416">
        <f>'1 g'!N464</f>
        <v>-0.1</v>
      </c>
      <c r="O464" s="416">
        <f>'1 g'!O464</f>
        <v>0.25</v>
      </c>
      <c r="P464" s="35">
        <v>1</v>
      </c>
      <c r="Q464" s="242"/>
      <c r="R464" s="432" t="s">
        <v>178</v>
      </c>
      <c r="S464" s="433"/>
      <c r="T464" s="36">
        <v>3</v>
      </c>
      <c r="U464" s="242"/>
    </row>
    <row r="465" spans="7:21" x14ac:dyDescent="0.25">
      <c r="G465" s="35">
        <v>2</v>
      </c>
      <c r="H465" s="416">
        <f>'1 g'!H465</f>
        <v>20</v>
      </c>
      <c r="I465" s="416">
        <f>'1 g'!I465</f>
        <v>-0.08</v>
      </c>
      <c r="J465" s="416">
        <f>'1 g'!J465</f>
        <v>0.26</v>
      </c>
      <c r="K465" s="35">
        <v>2</v>
      </c>
      <c r="L465" s="35">
        <v>2</v>
      </c>
      <c r="M465" s="416">
        <f>'1 g'!M465</f>
        <v>20</v>
      </c>
      <c r="N465" s="416">
        <f>'1 g'!N465</f>
        <v>-0.08</v>
      </c>
      <c r="O465" s="416">
        <f>'1 g'!O465</f>
        <v>0.26</v>
      </c>
      <c r="P465" s="35">
        <v>2</v>
      </c>
      <c r="Q465" s="242"/>
      <c r="R465" s="421" t="s">
        <v>179</v>
      </c>
      <c r="S465" s="421" t="s">
        <v>180</v>
      </c>
      <c r="T465" s="242"/>
      <c r="U465" s="242"/>
    </row>
    <row r="466" spans="7:21" x14ac:dyDescent="0.25">
      <c r="G466" s="35">
        <v>3</v>
      </c>
      <c r="H466" s="416">
        <f>'1 g'!H466</f>
        <v>25</v>
      </c>
      <c r="I466" s="416">
        <f>'1 g'!I466</f>
        <v>-0.34</v>
      </c>
      <c r="J466" s="416">
        <f>'1 g'!J466</f>
        <v>0.42</v>
      </c>
      <c r="K466" s="35">
        <v>3</v>
      </c>
      <c r="L466" s="35">
        <v>3</v>
      </c>
      <c r="M466" s="416">
        <f>'1 g'!M466</f>
        <v>25</v>
      </c>
      <c r="N466" s="416">
        <f>'1 g'!N466</f>
        <v>-0.34</v>
      </c>
      <c r="O466" s="416">
        <f>'1 g'!O466</f>
        <v>0.42</v>
      </c>
      <c r="P466" s="35">
        <v>3</v>
      </c>
      <c r="Q466" s="242"/>
      <c r="R466" s="246">
        <f>I459+J459</f>
        <v>19.518473282442748</v>
      </c>
      <c r="S466" s="246">
        <f>N459+O459</f>
        <v>20.014800000000001</v>
      </c>
      <c r="T466" s="242"/>
      <c r="U466" s="242"/>
    </row>
    <row r="467" spans="7:21" x14ac:dyDescent="0.25">
      <c r="G467" s="35">
        <v>4</v>
      </c>
      <c r="H467" s="416">
        <f>'1 g'!H467</f>
        <v>30.36</v>
      </c>
      <c r="I467" s="416">
        <f>'1 g'!I467</f>
        <v>-0.3</v>
      </c>
      <c r="J467" s="416">
        <f>'1 g'!J467</f>
        <v>0.25</v>
      </c>
      <c r="K467" s="35">
        <v>4</v>
      </c>
      <c r="L467" s="35">
        <v>4</v>
      </c>
      <c r="M467" s="416">
        <f>'1 g'!M467</f>
        <v>30.36</v>
      </c>
      <c r="N467" s="416">
        <f>'1 g'!N467</f>
        <v>-0.3</v>
      </c>
      <c r="O467" s="416">
        <f>'1 g'!O467</f>
        <v>0.25</v>
      </c>
      <c r="P467" s="35">
        <v>4</v>
      </c>
      <c r="Q467" s="242"/>
      <c r="R467" s="246">
        <f>I477+J477</f>
        <v>51.661538461538463</v>
      </c>
      <c r="S467" s="246">
        <f>N477+O477</f>
        <v>51.661538461538463</v>
      </c>
      <c r="T467" s="242"/>
      <c r="U467" s="242"/>
    </row>
    <row r="468" spans="7:21" x14ac:dyDescent="0.25">
      <c r="G468" s="35">
        <v>5</v>
      </c>
      <c r="H468" s="416">
        <f>'1 g'!H468</f>
        <v>0</v>
      </c>
      <c r="I468" s="416">
        <f>'1 g'!I468</f>
        <v>0</v>
      </c>
      <c r="J468" s="416">
        <f>'1 g'!J468</f>
        <v>0</v>
      </c>
      <c r="K468" s="35">
        <v>5</v>
      </c>
      <c r="L468" s="35">
        <v>5</v>
      </c>
      <c r="M468" s="416">
        <f>'1 g'!M468</f>
        <v>0</v>
      </c>
      <c r="N468" s="416">
        <f>'1 g'!N468</f>
        <v>0</v>
      </c>
      <c r="O468" s="416">
        <f>'1 g'!O468</f>
        <v>0</v>
      </c>
      <c r="P468" s="35">
        <v>5</v>
      </c>
      <c r="Q468" s="242"/>
      <c r="R468" s="247">
        <f>I492+J492</f>
        <v>100101.9</v>
      </c>
      <c r="S468" s="247">
        <f>N492+O492</f>
        <v>100101.9</v>
      </c>
      <c r="T468" s="242"/>
      <c r="U468" s="242"/>
    </row>
    <row r="469" spans="7:21" x14ac:dyDescent="0.25">
      <c r="G469" s="35">
        <v>6</v>
      </c>
      <c r="H469" s="416"/>
      <c r="I469" s="442"/>
      <c r="J469" s="416"/>
      <c r="K469" s="35">
        <v>6</v>
      </c>
      <c r="L469" s="35">
        <v>6</v>
      </c>
      <c r="M469" s="416"/>
      <c r="N469" s="442"/>
      <c r="O469" s="416"/>
      <c r="P469" s="35">
        <v>6</v>
      </c>
      <c r="Q469" s="242"/>
      <c r="R469" s="242"/>
      <c r="S469" s="242"/>
      <c r="T469" s="242"/>
      <c r="U469" s="242"/>
    </row>
    <row r="470" spans="7:21" x14ac:dyDescent="0.25">
      <c r="G470" s="35">
        <v>7</v>
      </c>
      <c r="H470" s="416"/>
      <c r="I470" s="442"/>
      <c r="J470" s="416"/>
      <c r="K470" s="35">
        <v>7</v>
      </c>
      <c r="L470" s="35">
        <v>7</v>
      </c>
      <c r="M470" s="416"/>
      <c r="N470" s="442"/>
      <c r="O470" s="416"/>
      <c r="P470" s="35">
        <v>7</v>
      </c>
      <c r="Q470" s="242"/>
      <c r="R470" s="242"/>
      <c r="S470" s="242"/>
      <c r="T470" s="242"/>
      <c r="U470" s="242"/>
    </row>
    <row r="471" spans="7:21" x14ac:dyDescent="0.25"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242"/>
    </row>
    <row r="472" spans="7:21" x14ac:dyDescent="0.25">
      <c r="H472" s="242"/>
      <c r="I472" s="242"/>
      <c r="J472" s="242"/>
      <c r="K472" s="242"/>
      <c r="L472" s="242"/>
      <c r="M472" s="242"/>
      <c r="N472" s="242"/>
      <c r="O472" s="242"/>
      <c r="P472" s="242"/>
      <c r="Q472" s="242"/>
      <c r="R472" s="242"/>
      <c r="S472" s="242"/>
      <c r="T472" s="242"/>
      <c r="U472" s="242"/>
    </row>
    <row r="473" spans="7:21" x14ac:dyDescent="0.25"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242"/>
    </row>
    <row r="474" spans="7:21" ht="15.6" x14ac:dyDescent="0.3">
      <c r="H474" s="80" t="s">
        <v>187</v>
      </c>
      <c r="I474" s="80"/>
      <c r="J474" s="80"/>
      <c r="K474" s="80"/>
      <c r="L474" s="242"/>
      <c r="M474" s="80" t="s">
        <v>187</v>
      </c>
      <c r="N474" s="80"/>
      <c r="O474" s="80"/>
      <c r="P474" s="80"/>
      <c r="Q474" s="242"/>
      <c r="R474" s="242"/>
      <c r="S474" s="242"/>
      <c r="T474" s="242"/>
      <c r="U474" s="242"/>
    </row>
    <row r="475" spans="7:21" x14ac:dyDescent="0.25">
      <c r="H475" s="28" t="s">
        <v>173</v>
      </c>
      <c r="I475" s="29" t="s">
        <v>182</v>
      </c>
      <c r="J475" s="30" t="s">
        <v>175</v>
      </c>
      <c r="K475" s="29" t="s">
        <v>176</v>
      </c>
      <c r="L475" s="242"/>
      <c r="M475" s="28" t="s">
        <v>173</v>
      </c>
      <c r="N475" s="29" t="s">
        <v>182</v>
      </c>
      <c r="O475" s="30" t="s">
        <v>175</v>
      </c>
      <c r="P475" s="29" t="s">
        <v>176</v>
      </c>
      <c r="Q475" s="242"/>
      <c r="R475" s="242"/>
      <c r="S475" s="242"/>
      <c r="T475" s="242"/>
      <c r="U475" s="242"/>
    </row>
    <row r="476" spans="7:21" x14ac:dyDescent="0.25">
      <c r="H476" s="31">
        <f>VLOOKUP(I476,H482:K486,4,FALSE)</f>
        <v>1</v>
      </c>
      <c r="I476" s="243">
        <f>VLOOKUP(I477,H482:K486,1,TRUE)</f>
        <v>41.3</v>
      </c>
      <c r="J476" s="248">
        <f>VLOOKUP(I476,H482:J486,2,FALSE)</f>
        <v>1.1000000000000001</v>
      </c>
      <c r="K476" s="248">
        <f>VLOOKUP(I476,H464:K486,3,FALSE)</f>
        <v>1.3</v>
      </c>
      <c r="L476" s="242"/>
      <c r="M476" s="31">
        <f>VLOOKUP(N476,M482:P486,4,FALSE)</f>
        <v>1</v>
      </c>
      <c r="N476" s="243">
        <f>VLOOKUP(N477,M482:P486,1,TRUE)</f>
        <v>41.3</v>
      </c>
      <c r="O476" s="248">
        <f>VLOOKUP(N476,M482:P486,2,FALSE)</f>
        <v>1.1000000000000001</v>
      </c>
      <c r="P476" s="248">
        <f>VLOOKUP(N476,M482:P486,3,FALSE)</f>
        <v>1.3</v>
      </c>
      <c r="Q476" s="242"/>
      <c r="R476" s="242"/>
      <c r="S476" s="242"/>
      <c r="T476" s="242"/>
      <c r="U476" s="242"/>
    </row>
    <row r="477" spans="7:21" x14ac:dyDescent="0.25">
      <c r="H477" s="243"/>
      <c r="I477" s="32">
        <f>datos!H350</f>
        <v>51.1</v>
      </c>
      <c r="J477" s="249">
        <f>(J478-J476)/(I478-I476)*(I477-I476)+J476</f>
        <v>0.56153846153846143</v>
      </c>
      <c r="K477" s="249">
        <f>(K478-K476)/(I478-I476)*(I477-I476)+K476</f>
        <v>1.3</v>
      </c>
      <c r="L477" s="242"/>
      <c r="M477" s="243"/>
      <c r="N477" s="32">
        <f>datos!I350</f>
        <v>51.1</v>
      </c>
      <c r="O477" s="249">
        <f>(O478-O476)/(N478-N476)*(N477-N476)+O476</f>
        <v>0.56153846153846143</v>
      </c>
      <c r="P477" s="249">
        <f>(P478-P476)/(O478-O476)*(O477-O476)+P476</f>
        <v>1.3</v>
      </c>
      <c r="Q477" s="242"/>
      <c r="R477" s="242"/>
      <c r="S477" s="242"/>
      <c r="T477" s="242"/>
      <c r="U477" s="242"/>
    </row>
    <row r="478" spans="7:21" x14ac:dyDescent="0.25">
      <c r="H478" s="31">
        <f>H476+1</f>
        <v>2</v>
      </c>
      <c r="I478" s="243">
        <f>VLOOKUP(H476+1,G482:J486,2,FALSE)</f>
        <v>59.5</v>
      </c>
      <c r="J478" s="248">
        <f>VLOOKUP(I478,H482:K486,2,FALSE)</f>
        <v>0.1</v>
      </c>
      <c r="K478" s="248">
        <f>VLOOKUP(I478,H482:K486,3,FALSE)</f>
        <v>1.3</v>
      </c>
      <c r="L478" s="242"/>
      <c r="M478" s="31">
        <f>M476+1</f>
        <v>2</v>
      </c>
      <c r="N478" s="243">
        <f>VLOOKUP(M476+1,L482:O486,2,FALSE)</f>
        <v>59.5</v>
      </c>
      <c r="O478" s="248">
        <f>VLOOKUP(N478,M482:P486,2,FALSE)</f>
        <v>0.1</v>
      </c>
      <c r="P478" s="248">
        <f>VLOOKUP(N478,M482:P486,3,FALSE)</f>
        <v>1.3</v>
      </c>
      <c r="Q478" s="242"/>
      <c r="R478" s="242"/>
      <c r="S478" s="242"/>
      <c r="T478" s="242"/>
      <c r="U478" s="242"/>
    </row>
    <row r="479" spans="7:21" x14ac:dyDescent="0.25"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242"/>
    </row>
    <row r="480" spans="7:21" ht="15.6" x14ac:dyDescent="0.3">
      <c r="G480" s="443"/>
      <c r="H480" s="444" t="s">
        <v>187</v>
      </c>
      <c r="I480" s="444"/>
      <c r="J480" s="444"/>
      <c r="K480" s="444"/>
      <c r="L480" s="445"/>
      <c r="M480" s="444" t="s">
        <v>187</v>
      </c>
      <c r="N480" s="444"/>
      <c r="O480" s="444"/>
      <c r="P480" s="444"/>
      <c r="Q480" s="242"/>
      <c r="R480" s="242"/>
      <c r="S480" s="242"/>
      <c r="T480" s="242"/>
      <c r="U480" s="242"/>
    </row>
    <row r="481" spans="7:21" x14ac:dyDescent="0.25">
      <c r="G481" s="443"/>
      <c r="H481" s="516" t="s">
        <v>183</v>
      </c>
      <c r="I481" s="516" t="s">
        <v>6</v>
      </c>
      <c r="J481" s="516" t="s">
        <v>177</v>
      </c>
      <c r="K481" s="447"/>
      <c r="L481" s="447"/>
      <c r="M481" s="516" t="s">
        <v>183</v>
      </c>
      <c r="N481" s="516" t="s">
        <v>6</v>
      </c>
      <c r="O481" s="516" t="s">
        <v>177</v>
      </c>
      <c r="P481" s="447"/>
      <c r="Q481" s="242"/>
      <c r="R481" s="242"/>
      <c r="S481" s="242"/>
      <c r="T481" s="242"/>
      <c r="U481" s="242"/>
    </row>
    <row r="482" spans="7:21" x14ac:dyDescent="0.25">
      <c r="G482" s="448">
        <v>1</v>
      </c>
      <c r="H482" s="517">
        <f>'1 g'!H482</f>
        <v>41.3</v>
      </c>
      <c r="I482" s="517">
        <f>'1 g'!I482</f>
        <v>1.1000000000000001</v>
      </c>
      <c r="J482" s="517">
        <f>'1 g'!J482</f>
        <v>1.3</v>
      </c>
      <c r="K482" s="448">
        <v>1</v>
      </c>
      <c r="L482" s="448">
        <v>1</v>
      </c>
      <c r="M482" s="517">
        <f>'1 g'!M482</f>
        <v>41.3</v>
      </c>
      <c r="N482" s="517">
        <f>'1 g'!N482</f>
        <v>1.1000000000000001</v>
      </c>
      <c r="O482" s="517">
        <f>'1 g'!O482</f>
        <v>1.3</v>
      </c>
      <c r="P482" s="448">
        <v>1</v>
      </c>
      <c r="Q482" s="242"/>
      <c r="R482" s="242"/>
      <c r="S482" s="242"/>
      <c r="T482" s="242"/>
      <c r="U482" s="242"/>
    </row>
    <row r="483" spans="7:21" x14ac:dyDescent="0.25">
      <c r="G483" s="448">
        <v>2</v>
      </c>
      <c r="H483" s="517">
        <f>'1 g'!H483</f>
        <v>59.5</v>
      </c>
      <c r="I483" s="517">
        <f>'1 g'!I483</f>
        <v>0.1</v>
      </c>
      <c r="J483" s="517">
        <f>'1 g'!J483</f>
        <v>1.3</v>
      </c>
      <c r="K483" s="448">
        <v>2</v>
      </c>
      <c r="L483" s="448">
        <v>2</v>
      </c>
      <c r="M483" s="517">
        <f>'1 g'!M483</f>
        <v>59.5</v>
      </c>
      <c r="N483" s="517">
        <f>'1 g'!N483</f>
        <v>0.1</v>
      </c>
      <c r="O483" s="517">
        <f>'1 g'!O483</f>
        <v>1.3</v>
      </c>
      <c r="P483" s="448">
        <v>2</v>
      </c>
      <c r="Q483" s="242"/>
      <c r="R483" s="242"/>
      <c r="S483" s="242"/>
      <c r="T483" s="242"/>
      <c r="U483" s="242"/>
    </row>
    <row r="484" spans="7:21" x14ac:dyDescent="0.25">
      <c r="G484" s="448">
        <v>3</v>
      </c>
      <c r="H484" s="517">
        <f>'1 g'!H484</f>
        <v>84.9</v>
      </c>
      <c r="I484" s="517">
        <f>'1 g'!I484</f>
        <v>1.1000000000000001</v>
      </c>
      <c r="J484" s="517">
        <f>'1 g'!J484</f>
        <v>1.3</v>
      </c>
      <c r="K484" s="448">
        <v>3</v>
      </c>
      <c r="L484" s="448">
        <v>3</v>
      </c>
      <c r="M484" s="517">
        <f>'1 g'!M484</f>
        <v>84.9</v>
      </c>
      <c r="N484" s="517">
        <f>'1 g'!N484</f>
        <v>1.1000000000000001</v>
      </c>
      <c r="O484" s="517">
        <f>'1 g'!O484</f>
        <v>1.3</v>
      </c>
      <c r="P484" s="448">
        <v>3</v>
      </c>
      <c r="Q484" s="242"/>
      <c r="R484" s="242"/>
      <c r="S484" s="242"/>
      <c r="T484" s="242"/>
      <c r="U484" s="242"/>
    </row>
    <row r="485" spans="7:21" x14ac:dyDescent="0.25">
      <c r="G485" s="448">
        <v>4</v>
      </c>
      <c r="H485" s="517">
        <f>'1 g'!H485</f>
        <v>0</v>
      </c>
      <c r="I485" s="517">
        <f>'1 g'!I485</f>
        <v>0</v>
      </c>
      <c r="J485" s="517">
        <f>'1 g'!J485</f>
        <v>0</v>
      </c>
      <c r="K485" s="448">
        <v>4</v>
      </c>
      <c r="L485" s="448">
        <v>4</v>
      </c>
      <c r="M485" s="517">
        <f>'1 g'!M485</f>
        <v>0</v>
      </c>
      <c r="N485" s="517">
        <f>'1 g'!N485</f>
        <v>0</v>
      </c>
      <c r="O485" s="517">
        <f>'1 g'!O485</f>
        <v>0</v>
      </c>
      <c r="P485" s="448">
        <v>4</v>
      </c>
      <c r="Q485" s="242"/>
      <c r="R485" s="242"/>
      <c r="S485" s="242"/>
      <c r="T485" s="242"/>
      <c r="U485" s="242"/>
    </row>
    <row r="486" spans="7:21" x14ac:dyDescent="0.25">
      <c r="G486" s="448">
        <v>5</v>
      </c>
      <c r="H486" s="517">
        <f>'1 g'!H486</f>
        <v>0</v>
      </c>
      <c r="I486" s="517">
        <f>'1 g'!I486</f>
        <v>0</v>
      </c>
      <c r="J486" s="517">
        <f>'1 g'!J486</f>
        <v>0</v>
      </c>
      <c r="K486" s="448">
        <v>5</v>
      </c>
      <c r="L486" s="448">
        <v>5</v>
      </c>
      <c r="M486" s="517">
        <f>'1 g'!M486</f>
        <v>0</v>
      </c>
      <c r="N486" s="517">
        <f>'1 g'!N486</f>
        <v>0</v>
      </c>
      <c r="O486" s="517">
        <f>'1 g'!O486</f>
        <v>0</v>
      </c>
      <c r="P486" s="448">
        <v>5</v>
      </c>
      <c r="Q486" s="242"/>
      <c r="R486" s="242"/>
      <c r="S486" s="242"/>
      <c r="T486" s="242"/>
      <c r="U486" s="242"/>
    </row>
    <row r="487" spans="7:21" x14ac:dyDescent="0.25">
      <c r="G487" s="443"/>
      <c r="H487" s="445"/>
      <c r="I487" s="445"/>
      <c r="J487" s="445"/>
      <c r="K487" s="445"/>
      <c r="L487" s="445"/>
      <c r="M487" s="445"/>
      <c r="N487" s="445"/>
      <c r="O487" s="445"/>
      <c r="P487" s="445"/>
      <c r="Q487" s="242"/>
      <c r="R487" s="242"/>
      <c r="S487" s="242"/>
      <c r="T487" s="242"/>
      <c r="U487" s="242"/>
    </row>
    <row r="488" spans="7:21" x14ac:dyDescent="0.25">
      <c r="G488" s="443"/>
      <c r="H488" s="445"/>
      <c r="I488" s="445"/>
      <c r="J488" s="445"/>
      <c r="K488" s="445"/>
      <c r="L488" s="445"/>
      <c r="M488" s="445"/>
      <c r="N488" s="445"/>
      <c r="O488" s="445"/>
      <c r="P488" s="445"/>
      <c r="Q488" s="242"/>
      <c r="R488" s="242"/>
      <c r="S488" s="242"/>
      <c r="T488" s="242"/>
      <c r="U488" s="242"/>
    </row>
    <row r="489" spans="7:21" ht="15.6" x14ac:dyDescent="0.3">
      <c r="G489" s="443"/>
      <c r="H489" s="449" t="s">
        <v>188</v>
      </c>
      <c r="I489" s="449"/>
      <c r="J489" s="449"/>
      <c r="K489" s="449"/>
      <c r="L489" s="445"/>
      <c r="M489" s="449" t="s">
        <v>188</v>
      </c>
      <c r="N489" s="449"/>
      <c r="O489" s="449"/>
      <c r="P489" s="449"/>
      <c r="Q489" s="242"/>
      <c r="R489" s="242"/>
      <c r="S489" s="242"/>
      <c r="T489" s="242"/>
      <c r="U489" s="242"/>
    </row>
    <row r="490" spans="7:21" x14ac:dyDescent="0.25">
      <c r="G490" s="443"/>
      <c r="H490" s="521" t="s">
        <v>173</v>
      </c>
      <c r="I490" s="522" t="s">
        <v>184</v>
      </c>
      <c r="J490" s="516" t="s">
        <v>175</v>
      </c>
      <c r="K490" s="522" t="s">
        <v>176</v>
      </c>
      <c r="L490" s="520"/>
      <c r="M490" s="521" t="s">
        <v>173</v>
      </c>
      <c r="N490" s="522" t="s">
        <v>184</v>
      </c>
      <c r="O490" s="516" t="s">
        <v>175</v>
      </c>
      <c r="P490" s="522" t="s">
        <v>176</v>
      </c>
      <c r="Q490" s="242"/>
      <c r="R490" s="242"/>
      <c r="S490" s="242"/>
      <c r="T490" s="242"/>
      <c r="U490" s="242"/>
    </row>
    <row r="491" spans="7:21" x14ac:dyDescent="0.25">
      <c r="G491" s="443"/>
      <c r="H491" s="518">
        <f>VLOOKUP(I491,H496:K502,4,FALSE)</f>
        <v>1</v>
      </c>
      <c r="I491" s="523">
        <f>VLOOKUP(I492,H496:K502,1,TRUE)</f>
        <v>903.52</v>
      </c>
      <c r="J491" s="524">
        <f>VLOOKUP(I491,H496:K502,2,FALSE)</f>
        <v>1.9</v>
      </c>
      <c r="K491" s="524">
        <f>VLOOKUP(I491,H496:K502,3,FALSE)</f>
        <v>0.28000000000000003</v>
      </c>
      <c r="L491" s="520"/>
      <c r="M491" s="518">
        <f>VLOOKUP(N491,M496:P502,4,FALSE)</f>
        <v>1</v>
      </c>
      <c r="N491" s="523">
        <f>VLOOKUP(N492,M496:P502,1,TRUE)</f>
        <v>903.52</v>
      </c>
      <c r="O491" s="524">
        <f>VLOOKUP(N491,M496:P502,2,FALSE)</f>
        <v>1.9</v>
      </c>
      <c r="P491" s="524">
        <f>VLOOKUP(N491,M496:P502,3,FALSE)</f>
        <v>0.28000000000000003</v>
      </c>
      <c r="Q491" s="242"/>
      <c r="R491" s="242"/>
      <c r="S491" s="242"/>
      <c r="T491" s="242"/>
      <c r="U491" s="242"/>
    </row>
    <row r="492" spans="7:21" x14ac:dyDescent="0.25">
      <c r="G492" s="443"/>
      <c r="H492" s="518"/>
      <c r="I492" s="523">
        <f>datos!H351*100</f>
        <v>100100</v>
      </c>
      <c r="J492" s="524">
        <f>(J493-J491)/(I493-I491)*(I492-I491)+J491</f>
        <v>1.9</v>
      </c>
      <c r="K492" s="524">
        <f>(K493-K491)/(I493-I491)*(I492-I491)+K491</f>
        <v>0.28000000000000003</v>
      </c>
      <c r="L492" s="520"/>
      <c r="M492" s="518"/>
      <c r="N492" s="523">
        <f>datos!I351*100</f>
        <v>100100</v>
      </c>
      <c r="O492" s="524">
        <f>(O493-O491)/(N493-N491)*(N492-N491)+O491</f>
        <v>1.9</v>
      </c>
      <c r="P492" s="524">
        <f>(P493-P491)/(N493-N491)*(N492-N491)+P491</f>
        <v>0.28000000000000003</v>
      </c>
      <c r="Q492" s="242"/>
      <c r="R492" s="242"/>
      <c r="S492" s="242"/>
      <c r="T492" s="242"/>
      <c r="U492" s="242"/>
    </row>
    <row r="493" spans="7:21" x14ac:dyDescent="0.25">
      <c r="G493" s="443"/>
      <c r="H493" s="518">
        <f>H491+1</f>
        <v>2</v>
      </c>
      <c r="I493" s="523">
        <f>VLOOKUP(H491+1,G496:J502,2,FALSE)</f>
        <v>1001</v>
      </c>
      <c r="J493" s="524">
        <f>VLOOKUP(I493,H496:K502,2,FALSE)</f>
        <v>1.9</v>
      </c>
      <c r="K493" s="524">
        <f>VLOOKUP(I493,H496:K502,3,FALSE)</f>
        <v>0.28000000000000003</v>
      </c>
      <c r="L493" s="520"/>
      <c r="M493" s="518">
        <f>M491+1</f>
        <v>2</v>
      </c>
      <c r="N493" s="523">
        <f>VLOOKUP(M491+1,L496:O502,2,FALSE)</f>
        <v>1001</v>
      </c>
      <c r="O493" s="524">
        <f>VLOOKUP(N493,M496:P502,2,FALSE)</f>
        <v>1.9</v>
      </c>
      <c r="P493" s="524">
        <f>VLOOKUP(N493,M496:P502,3,FALSE)</f>
        <v>0.28000000000000003</v>
      </c>
      <c r="Q493" s="242"/>
      <c r="R493" s="242"/>
      <c r="S493" s="242"/>
      <c r="T493" s="242"/>
      <c r="U493" s="242"/>
    </row>
    <row r="494" spans="7:21" x14ac:dyDescent="0.25">
      <c r="G494" s="443"/>
      <c r="H494" s="520"/>
      <c r="I494" s="520"/>
      <c r="J494" s="520"/>
      <c r="K494" s="520"/>
      <c r="L494" s="520"/>
      <c r="M494" s="520"/>
      <c r="N494" s="520"/>
      <c r="O494" s="520"/>
      <c r="P494" s="520"/>
      <c r="Q494" s="242"/>
      <c r="R494" s="242"/>
      <c r="S494" s="242"/>
      <c r="T494" s="242"/>
      <c r="U494" s="242"/>
    </row>
    <row r="495" spans="7:21" x14ac:dyDescent="0.25">
      <c r="G495" s="443"/>
      <c r="H495" s="516" t="s">
        <v>185</v>
      </c>
      <c r="I495" s="516" t="s">
        <v>175</v>
      </c>
      <c r="J495" s="516" t="s">
        <v>177</v>
      </c>
      <c r="K495" s="525"/>
      <c r="L495" s="525"/>
      <c r="M495" s="516" t="s">
        <v>185</v>
      </c>
      <c r="N495" s="516" t="s">
        <v>175</v>
      </c>
      <c r="O495" s="516" t="s">
        <v>177</v>
      </c>
      <c r="P495" s="525"/>
      <c r="Q495" s="242"/>
      <c r="R495" s="242"/>
      <c r="S495" s="242"/>
      <c r="T495" s="242"/>
      <c r="U495" s="242"/>
    </row>
    <row r="496" spans="7:21" x14ac:dyDescent="0.25">
      <c r="G496" s="448">
        <v>1</v>
      </c>
      <c r="H496" s="523">
        <v>903.52</v>
      </c>
      <c r="I496" s="518">
        <v>1.9</v>
      </c>
      <c r="J496" s="518">
        <v>0.28000000000000003</v>
      </c>
      <c r="K496" s="526">
        <v>1</v>
      </c>
      <c r="L496" s="526">
        <v>1</v>
      </c>
      <c r="M496" s="523">
        <v>903.52</v>
      </c>
      <c r="N496" s="518">
        <v>1.9</v>
      </c>
      <c r="O496" s="518">
        <v>0.28000000000000003</v>
      </c>
      <c r="P496" s="526">
        <v>1</v>
      </c>
      <c r="Q496" s="242"/>
      <c r="R496" s="242"/>
      <c r="S496" s="242"/>
      <c r="T496" s="242"/>
      <c r="U496" s="242"/>
    </row>
    <row r="497" spans="7:21" x14ac:dyDescent="0.25">
      <c r="G497" s="448">
        <v>2</v>
      </c>
      <c r="H497" s="523">
        <v>1001</v>
      </c>
      <c r="I497" s="518">
        <v>1.9</v>
      </c>
      <c r="J497" s="518">
        <v>0.28000000000000003</v>
      </c>
      <c r="K497" s="526">
        <v>2</v>
      </c>
      <c r="L497" s="526">
        <v>2</v>
      </c>
      <c r="M497" s="523">
        <v>1001</v>
      </c>
      <c r="N497" s="518">
        <v>1.9</v>
      </c>
      <c r="O497" s="518">
        <v>0.28000000000000003</v>
      </c>
      <c r="P497" s="526">
        <v>2</v>
      </c>
      <c r="Q497" s="242"/>
      <c r="R497" s="242"/>
      <c r="S497" s="242"/>
      <c r="T497" s="242"/>
      <c r="U497" s="242"/>
    </row>
    <row r="498" spans="7:21" x14ac:dyDescent="0.25">
      <c r="G498" s="448">
        <v>3</v>
      </c>
      <c r="H498" s="523">
        <v>903.52</v>
      </c>
      <c r="I498" s="518">
        <v>1.9</v>
      </c>
      <c r="J498" s="518">
        <v>0.28000000000000003</v>
      </c>
      <c r="K498" s="526">
        <v>3</v>
      </c>
      <c r="L498" s="526">
        <v>3</v>
      </c>
      <c r="M498" s="523">
        <v>903.52</v>
      </c>
      <c r="N498" s="518">
        <v>1.9</v>
      </c>
      <c r="O498" s="518">
        <v>0.28000000000000003</v>
      </c>
      <c r="P498" s="526">
        <v>3</v>
      </c>
      <c r="Q498" s="242"/>
      <c r="R498" s="242"/>
      <c r="S498" s="242"/>
      <c r="T498" s="242"/>
      <c r="U498" s="242"/>
    </row>
    <row r="499" spans="7:21" x14ac:dyDescent="0.25">
      <c r="G499" s="448">
        <v>4</v>
      </c>
      <c r="H499" s="523"/>
      <c r="I499" s="518"/>
      <c r="J499" s="518"/>
      <c r="K499" s="526">
        <v>4</v>
      </c>
      <c r="L499" s="526">
        <v>4</v>
      </c>
      <c r="M499" s="523"/>
      <c r="N499" s="518"/>
      <c r="O499" s="518"/>
      <c r="P499" s="526">
        <v>4</v>
      </c>
      <c r="Q499" s="242"/>
      <c r="R499" s="242"/>
      <c r="S499" s="242"/>
      <c r="T499" s="242"/>
      <c r="U499" s="242"/>
    </row>
    <row r="500" spans="7:21" x14ac:dyDescent="0.25">
      <c r="G500" s="448">
        <v>5</v>
      </c>
      <c r="H500" s="523"/>
      <c r="I500" s="518"/>
      <c r="J500" s="518"/>
      <c r="K500" s="526">
        <v>5</v>
      </c>
      <c r="L500" s="526">
        <v>5</v>
      </c>
      <c r="M500" s="523"/>
      <c r="N500" s="518"/>
      <c r="O500" s="518"/>
      <c r="P500" s="526">
        <v>5</v>
      </c>
      <c r="Q500" s="242"/>
      <c r="R500" s="242"/>
      <c r="S500" s="242"/>
      <c r="T500" s="242"/>
      <c r="U500" s="242"/>
    </row>
    <row r="501" spans="7:21" x14ac:dyDescent="0.25">
      <c r="G501" s="448">
        <v>6</v>
      </c>
      <c r="H501" s="523"/>
      <c r="I501" s="518"/>
      <c r="J501" s="518"/>
      <c r="K501" s="526">
        <v>6</v>
      </c>
      <c r="L501" s="526">
        <v>6</v>
      </c>
      <c r="M501" s="523"/>
      <c r="N501" s="518"/>
      <c r="O501" s="518"/>
      <c r="P501" s="526">
        <v>6</v>
      </c>
      <c r="Q501" s="242"/>
      <c r="R501" s="242"/>
      <c r="S501" s="242"/>
      <c r="T501" s="242"/>
      <c r="U501" s="242"/>
    </row>
    <row r="502" spans="7:21" x14ac:dyDescent="0.25">
      <c r="G502" s="448">
        <v>7</v>
      </c>
      <c r="H502" s="523"/>
      <c r="I502" s="518"/>
      <c r="J502" s="518"/>
      <c r="K502" s="526">
        <v>7</v>
      </c>
      <c r="L502" s="526">
        <v>7</v>
      </c>
      <c r="M502" s="523"/>
      <c r="N502" s="518"/>
      <c r="O502" s="518"/>
      <c r="P502" s="526">
        <v>7</v>
      </c>
      <c r="Q502" s="242"/>
      <c r="R502" s="242"/>
      <c r="S502" s="242"/>
      <c r="T502" s="242"/>
      <c r="U502" s="242"/>
    </row>
    <row r="503" spans="7:21" x14ac:dyDescent="0.25">
      <c r="H503" s="242"/>
      <c r="I503" s="242"/>
      <c r="J503" s="242"/>
      <c r="K503" s="242"/>
      <c r="L503" s="242"/>
      <c r="M503" s="242"/>
      <c r="N503" s="242"/>
      <c r="O503" s="242"/>
      <c r="P503" s="242"/>
      <c r="Q503" s="242"/>
      <c r="R503" s="242"/>
      <c r="S503" s="242"/>
      <c r="T503" s="242"/>
      <c r="U503" s="242"/>
    </row>
    <row r="508" spans="7:21" ht="21" hidden="1" x14ac:dyDescent="0.4">
      <c r="H508" s="695" t="s">
        <v>11</v>
      </c>
      <c r="I508" s="695"/>
      <c r="J508" s="695"/>
      <c r="K508" s="695"/>
      <c r="L508" s="695"/>
      <c r="M508" s="695"/>
      <c r="N508" s="695"/>
      <c r="O508" s="695"/>
      <c r="P508" s="695"/>
      <c r="Q508" s="242"/>
      <c r="R508" s="242"/>
      <c r="S508" s="242"/>
      <c r="T508" s="242"/>
      <c r="U508" s="242"/>
    </row>
    <row r="509" spans="7:21" hidden="1" x14ac:dyDescent="0.25">
      <c r="H509" s="242"/>
      <c r="I509" s="242"/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</row>
    <row r="510" spans="7:21" ht="15.6" hidden="1" x14ac:dyDescent="0.3">
      <c r="H510" s="81" t="s">
        <v>186</v>
      </c>
      <c r="I510" s="81"/>
      <c r="J510" s="81"/>
      <c r="K510" s="81"/>
      <c r="L510" s="242"/>
      <c r="M510" s="81" t="s">
        <v>186</v>
      </c>
      <c r="N510" s="81"/>
      <c r="O510" s="81"/>
      <c r="P510" s="81"/>
      <c r="Q510" s="242"/>
      <c r="R510" s="242"/>
      <c r="S510" s="242"/>
      <c r="T510" s="242"/>
      <c r="U510" s="242"/>
    </row>
    <row r="511" spans="7:21" hidden="1" x14ac:dyDescent="0.25">
      <c r="H511" s="28" t="s">
        <v>173</v>
      </c>
      <c r="I511" s="29" t="s">
        <v>174</v>
      </c>
      <c r="J511" s="30" t="s">
        <v>175</v>
      </c>
      <c r="K511" s="29" t="s">
        <v>176</v>
      </c>
      <c r="L511" s="242"/>
      <c r="M511" s="28" t="s">
        <v>173</v>
      </c>
      <c r="N511" s="29" t="s">
        <v>174</v>
      </c>
      <c r="O511" s="30" t="s">
        <v>175</v>
      </c>
      <c r="P511" s="29" t="s">
        <v>176</v>
      </c>
      <c r="Q511" s="242"/>
      <c r="R511" s="242"/>
      <c r="S511" s="242"/>
      <c r="T511" s="242"/>
      <c r="U511" s="242"/>
    </row>
    <row r="512" spans="7:21" hidden="1" x14ac:dyDescent="0.25">
      <c r="H512" s="31">
        <f>VLOOKUP(I512,H518:K524,4,FALSE)</f>
        <v>3</v>
      </c>
      <c r="I512" s="243">
        <f>VLOOKUP(I513,H518:J524,1,TRUE)</f>
        <v>15.5</v>
      </c>
      <c r="J512" s="244">
        <f>VLOOKUP(I512,H518:J524,2,FALSE)</f>
        <v>-0.22</v>
      </c>
      <c r="K512" s="244">
        <f>VLOOKUP(I512,H518:J524,3,FALSE)</f>
        <v>3.7999999999999999E-2</v>
      </c>
      <c r="L512" s="242"/>
      <c r="M512" s="31">
        <f>VLOOKUP(N512,M518:P524,4,FALSE)</f>
        <v>3</v>
      </c>
      <c r="N512" s="243">
        <f>VLOOKUP(N513,M518:P524,1,TRUE)</f>
        <v>15.5</v>
      </c>
      <c r="O512" s="244">
        <f>VLOOKUP(N512,M518:P524,2,FALSE)</f>
        <v>-0.22</v>
      </c>
      <c r="P512" s="244">
        <f>VLOOKUP(N512,M518:P524,3,FALSE)</f>
        <v>3.7999999999999999E-2</v>
      </c>
      <c r="Q512" s="242"/>
      <c r="R512" s="242"/>
      <c r="S512" s="242"/>
      <c r="T512" s="242"/>
      <c r="U512" s="242"/>
    </row>
    <row r="513" spans="7:21" hidden="1" x14ac:dyDescent="0.25">
      <c r="H513" s="243"/>
      <c r="I513" s="32">
        <f>datos!H349</f>
        <v>19.600000000000001</v>
      </c>
      <c r="J513" s="245">
        <f>(J514-J512)/(I514-I512)*(I513-I512)+J512</f>
        <v>5.9744136460554403E-2</v>
      </c>
      <c r="K513" s="245">
        <f>(K514-K512)/(I514-I512)*(I513-I512)+K512</f>
        <v>3.8874200426439229E-2</v>
      </c>
      <c r="L513" s="242"/>
      <c r="M513" s="243"/>
      <c r="N513" s="32">
        <f>datos!I349</f>
        <v>20.100000000000001</v>
      </c>
      <c r="O513" s="245">
        <f>(O514-O512)/(N514-N512)*(N513-N512)+O512</f>
        <v>9.3859275053304908E-2</v>
      </c>
      <c r="P513" s="245">
        <f>(P514-P512)/(N514-N512)*(N513-N512)+P512</f>
        <v>3.8980810234541578E-2</v>
      </c>
      <c r="Q513" s="242"/>
      <c r="R513" s="242"/>
      <c r="S513" s="242"/>
      <c r="T513" s="242"/>
      <c r="U513" s="242"/>
    </row>
    <row r="514" spans="7:21" hidden="1" x14ac:dyDescent="0.25">
      <c r="H514" s="31">
        <f>H512+1</f>
        <v>4</v>
      </c>
      <c r="I514" s="243">
        <f>VLOOKUP(H512+1,G518:K524,2,FALSE)</f>
        <v>20.190000000000001</v>
      </c>
      <c r="J514" s="244">
        <f>VLOOKUP(I514,H518:K524,2,FALSE)</f>
        <v>0.1</v>
      </c>
      <c r="K514" s="244">
        <f>VLOOKUP(I514,H518:K524,3,FALSE)</f>
        <v>3.9E-2</v>
      </c>
      <c r="L514" s="242"/>
      <c r="M514" s="31">
        <f>M512+1</f>
        <v>4</v>
      </c>
      <c r="N514" s="243">
        <f>VLOOKUP(M512+1,L518:P524,2,FALSE)</f>
        <v>20.190000000000001</v>
      </c>
      <c r="O514" s="244">
        <f>VLOOKUP(N514,M518:P524,2,FALSE)</f>
        <v>0.1</v>
      </c>
      <c r="P514" s="244">
        <f>VLOOKUP(N514,M518:P524,3,FALSE)</f>
        <v>3.9E-2</v>
      </c>
      <c r="Q514" s="242"/>
      <c r="R514" s="242"/>
      <c r="S514" s="242"/>
      <c r="T514" s="242"/>
      <c r="U514" s="242"/>
    </row>
    <row r="515" spans="7:21" hidden="1" x14ac:dyDescent="0.25">
      <c r="H515" s="242"/>
      <c r="I515" s="242"/>
      <c r="J515" s="242"/>
      <c r="K515" s="242"/>
      <c r="L515" s="242"/>
      <c r="M515" s="242"/>
      <c r="N515" s="242"/>
      <c r="O515" s="242"/>
      <c r="P515" s="242"/>
      <c r="Q515" s="242"/>
      <c r="R515" s="242"/>
      <c r="S515" s="242"/>
      <c r="T515" s="242"/>
      <c r="U515" s="242"/>
    </row>
    <row r="516" spans="7:21" ht="15.6" hidden="1" x14ac:dyDescent="0.3">
      <c r="H516" s="81" t="s">
        <v>12</v>
      </c>
      <c r="I516" s="81"/>
      <c r="J516" s="81"/>
      <c r="K516" s="33"/>
      <c r="L516" s="80" t="s">
        <v>12</v>
      </c>
      <c r="M516" s="80"/>
      <c r="N516" s="80"/>
      <c r="O516" s="80"/>
      <c r="P516" s="80"/>
      <c r="Q516" s="242"/>
      <c r="R516" s="242"/>
      <c r="S516" s="242"/>
      <c r="T516" s="242"/>
      <c r="U516" s="242"/>
    </row>
    <row r="517" spans="7:21" hidden="1" x14ac:dyDescent="0.25">
      <c r="H517" s="30" t="s">
        <v>174</v>
      </c>
      <c r="I517" s="30" t="s">
        <v>175</v>
      </c>
      <c r="J517" s="30" t="s">
        <v>177</v>
      </c>
      <c r="K517" s="34"/>
      <c r="L517" s="34"/>
      <c r="M517" s="30" t="s">
        <v>174</v>
      </c>
      <c r="N517" s="30" t="s">
        <v>175</v>
      </c>
      <c r="O517" s="30" t="s">
        <v>177</v>
      </c>
      <c r="P517" s="34"/>
      <c r="Q517" s="242"/>
      <c r="R517" s="242"/>
      <c r="S517" s="242"/>
      <c r="T517" s="242"/>
      <c r="U517" s="242"/>
    </row>
    <row r="518" spans="7:21" ht="39.6" hidden="1" x14ac:dyDescent="0.25">
      <c r="G518" s="35">
        <v>1</v>
      </c>
      <c r="H518" s="418">
        <v>1.46</v>
      </c>
      <c r="I518" s="418">
        <v>-1.41</v>
      </c>
      <c r="J518" s="418">
        <v>3.7999999999999999E-2</v>
      </c>
      <c r="K518" s="35">
        <v>1</v>
      </c>
      <c r="L518" s="35">
        <v>1</v>
      </c>
      <c r="M518" s="418">
        <v>1.46</v>
      </c>
      <c r="N518" s="418">
        <v>-1.41</v>
      </c>
      <c r="O518" s="418">
        <v>3.7999999999999999E-2</v>
      </c>
      <c r="P518" s="35">
        <v>1</v>
      </c>
      <c r="Q518" s="242"/>
      <c r="R518" s="432" t="s">
        <v>178</v>
      </c>
      <c r="S518" s="433"/>
      <c r="T518" s="36">
        <v>4</v>
      </c>
      <c r="U518" s="242"/>
    </row>
    <row r="519" spans="7:21" hidden="1" x14ac:dyDescent="0.25">
      <c r="G519" s="35">
        <v>2</v>
      </c>
      <c r="H519" s="418">
        <v>10.74</v>
      </c>
      <c r="I519" s="418">
        <v>-0.53</v>
      </c>
      <c r="J519" s="418">
        <v>3.7999999999999999E-2</v>
      </c>
      <c r="K519" s="35">
        <v>2</v>
      </c>
      <c r="L519" s="35">
        <v>2</v>
      </c>
      <c r="M519" s="418">
        <v>10.74</v>
      </c>
      <c r="N519" s="418">
        <v>-0.53</v>
      </c>
      <c r="O519" s="418">
        <v>3.7999999999999999E-2</v>
      </c>
      <c r="P519" s="35">
        <v>2</v>
      </c>
      <c r="Q519" s="242"/>
      <c r="R519" s="421" t="s">
        <v>179</v>
      </c>
      <c r="S519" s="421" t="s">
        <v>180</v>
      </c>
      <c r="T519" s="242"/>
      <c r="U519" s="242"/>
    </row>
    <row r="520" spans="7:21" hidden="1" x14ac:dyDescent="0.25">
      <c r="G520" s="35">
        <v>3</v>
      </c>
      <c r="H520" s="418">
        <v>15.5</v>
      </c>
      <c r="I520" s="418">
        <v>-0.22</v>
      </c>
      <c r="J520" s="418">
        <v>3.7999999999999999E-2</v>
      </c>
      <c r="K520" s="35">
        <v>3</v>
      </c>
      <c r="L520" s="35">
        <v>3</v>
      </c>
      <c r="M520" s="418">
        <v>15.5</v>
      </c>
      <c r="N520" s="418">
        <v>-0.22</v>
      </c>
      <c r="O520" s="418">
        <v>3.7999999999999999E-2</v>
      </c>
      <c r="P520" s="35">
        <v>3</v>
      </c>
      <c r="Q520" s="242"/>
      <c r="R520" s="246">
        <f>I513+J513</f>
        <v>19.659744136460557</v>
      </c>
      <c r="S520" s="246">
        <f>N513+O513</f>
        <v>20.193859275053306</v>
      </c>
      <c r="T520" s="242"/>
      <c r="U520" s="242"/>
    </row>
    <row r="521" spans="7:21" hidden="1" x14ac:dyDescent="0.25">
      <c r="G521" s="35">
        <v>4</v>
      </c>
      <c r="H521" s="418">
        <v>20.190000000000001</v>
      </c>
      <c r="I521" s="418">
        <v>0.1</v>
      </c>
      <c r="J521" s="418">
        <v>3.9E-2</v>
      </c>
      <c r="K521" s="35">
        <v>4</v>
      </c>
      <c r="L521" s="35">
        <v>4</v>
      </c>
      <c r="M521" s="418">
        <v>20.190000000000001</v>
      </c>
      <c r="N521" s="418">
        <v>0.1</v>
      </c>
      <c r="O521" s="418">
        <v>3.9E-2</v>
      </c>
      <c r="P521" s="35">
        <v>4</v>
      </c>
      <c r="Q521" s="242"/>
      <c r="R521" s="246">
        <f>I531+J531</f>
        <v>53.046632782719186</v>
      </c>
      <c r="S521" s="246">
        <f>N531+O531</f>
        <v>53.046632782719186</v>
      </c>
      <c r="T521" s="242"/>
      <c r="U521" s="242"/>
    </row>
    <row r="522" spans="7:21" hidden="1" x14ac:dyDescent="0.25">
      <c r="G522" s="35">
        <v>5</v>
      </c>
      <c r="H522" s="418">
        <v>25.02</v>
      </c>
      <c r="I522" s="418">
        <v>0.28999999999999998</v>
      </c>
      <c r="J522" s="418">
        <v>0.04</v>
      </c>
      <c r="K522" s="35">
        <v>5</v>
      </c>
      <c r="L522" s="35">
        <v>5</v>
      </c>
      <c r="M522" s="418">
        <v>25.02</v>
      </c>
      <c r="N522" s="418">
        <v>0.28999999999999998</v>
      </c>
      <c r="O522" s="418">
        <v>0.04</v>
      </c>
      <c r="P522" s="35">
        <v>5</v>
      </c>
      <c r="Q522" s="242"/>
      <c r="R522" s="247">
        <f>I546+J546</f>
        <v>100099.13115411611</v>
      </c>
      <c r="S522" s="247">
        <f>N546+O546</f>
        <v>100099.13115411611</v>
      </c>
      <c r="T522" s="242"/>
      <c r="U522" s="242"/>
    </row>
    <row r="523" spans="7:21" hidden="1" x14ac:dyDescent="0.25">
      <c r="G523" s="35">
        <v>6</v>
      </c>
      <c r="H523" s="418">
        <v>29.72</v>
      </c>
      <c r="I523" s="418">
        <v>0.52</v>
      </c>
      <c r="J523" s="418">
        <v>0.04</v>
      </c>
      <c r="K523" s="35">
        <v>6</v>
      </c>
      <c r="L523" s="35">
        <v>6</v>
      </c>
      <c r="M523" s="418">
        <v>29.72</v>
      </c>
      <c r="N523" s="418">
        <v>0.52</v>
      </c>
      <c r="O523" s="418">
        <v>0.04</v>
      </c>
      <c r="P523" s="35">
        <v>6</v>
      </c>
      <c r="Q523" s="242"/>
      <c r="R523" s="242"/>
      <c r="S523" s="242"/>
      <c r="T523" s="242"/>
      <c r="U523" s="242"/>
    </row>
    <row r="524" spans="7:21" hidden="1" x14ac:dyDescent="0.25">
      <c r="G524" s="35">
        <v>7</v>
      </c>
      <c r="H524" s="418">
        <v>39.15</v>
      </c>
      <c r="I524" s="418">
        <v>0.97</v>
      </c>
      <c r="J524" s="418">
        <v>4.1000000000000002E-2</v>
      </c>
      <c r="K524" s="35">
        <v>7</v>
      </c>
      <c r="L524" s="35">
        <v>7</v>
      </c>
      <c r="M524" s="418">
        <v>39.15</v>
      </c>
      <c r="N524" s="418">
        <v>0.97</v>
      </c>
      <c r="O524" s="418">
        <v>4.1000000000000002E-2</v>
      </c>
      <c r="P524" s="35">
        <v>7</v>
      </c>
      <c r="Q524" s="242"/>
      <c r="R524" s="242"/>
      <c r="S524" s="242"/>
      <c r="T524" s="242"/>
      <c r="U524" s="242"/>
    </row>
    <row r="525" spans="7:21" hidden="1" x14ac:dyDescent="0.25">
      <c r="H525" s="242"/>
      <c r="I525" s="242"/>
      <c r="J525" s="242"/>
      <c r="K525" s="242"/>
      <c r="L525" s="242"/>
      <c r="M525" s="242"/>
      <c r="N525" s="242"/>
      <c r="O525" s="242"/>
      <c r="P525" s="242"/>
      <c r="Q525" s="242"/>
      <c r="R525" s="242"/>
      <c r="S525" s="242"/>
      <c r="T525" s="242"/>
      <c r="U525" s="242"/>
    </row>
    <row r="526" spans="7:21" hidden="1" x14ac:dyDescent="0.25">
      <c r="H526" s="242"/>
      <c r="I526" s="242"/>
      <c r="J526" s="242"/>
      <c r="K526" s="242"/>
      <c r="L526" s="242"/>
      <c r="M526" s="242"/>
      <c r="N526" s="242"/>
      <c r="O526" s="242"/>
      <c r="P526" s="242"/>
      <c r="Q526" s="242"/>
      <c r="R526" s="242"/>
      <c r="S526" s="242"/>
      <c r="T526" s="242"/>
      <c r="U526" s="242"/>
    </row>
    <row r="527" spans="7:21" hidden="1" x14ac:dyDescent="0.25">
      <c r="H527" s="242"/>
      <c r="I527" s="242"/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</row>
    <row r="528" spans="7:21" ht="15.6" hidden="1" x14ac:dyDescent="0.3">
      <c r="H528" s="80" t="s">
        <v>187</v>
      </c>
      <c r="I528" s="80"/>
      <c r="J528" s="80"/>
      <c r="K528" s="80"/>
      <c r="L528" s="242"/>
      <c r="M528" s="80" t="s">
        <v>187</v>
      </c>
      <c r="N528" s="80"/>
      <c r="O528" s="80"/>
      <c r="P528" s="80"/>
      <c r="Q528" s="242"/>
      <c r="R528" s="242"/>
      <c r="S528" s="242"/>
      <c r="T528" s="242"/>
      <c r="U528" s="242"/>
    </row>
    <row r="529" spans="7:21" hidden="1" x14ac:dyDescent="0.25">
      <c r="H529" s="28" t="s">
        <v>173</v>
      </c>
      <c r="I529" s="29" t="s">
        <v>182</v>
      </c>
      <c r="J529" s="30" t="s">
        <v>175</v>
      </c>
      <c r="K529" s="29" t="s">
        <v>176</v>
      </c>
      <c r="L529" s="242"/>
      <c r="M529" s="28" t="s">
        <v>173</v>
      </c>
      <c r="N529" s="29" t="s">
        <v>182</v>
      </c>
      <c r="O529" s="30" t="s">
        <v>175</v>
      </c>
      <c r="P529" s="29" t="s">
        <v>176</v>
      </c>
      <c r="Q529" s="242"/>
      <c r="R529" s="242"/>
      <c r="S529" s="242"/>
      <c r="T529" s="242"/>
      <c r="U529" s="242"/>
    </row>
    <row r="530" spans="7:21" hidden="1" x14ac:dyDescent="0.25">
      <c r="H530" s="31">
        <f>VLOOKUP(I530,H536:K540,4,FALSE)</f>
        <v>3</v>
      </c>
      <c r="I530" s="243">
        <f>VLOOKUP(I531,H536:K540,1,TRUE)</f>
        <v>48.84</v>
      </c>
      <c r="J530" s="248">
        <f>VLOOKUP(I530,H536:J540,2,FALSE)</f>
        <v>1.2</v>
      </c>
      <c r="K530" s="248">
        <f>VLOOKUP(I530,H518:K540,3,FALSE)</f>
        <v>0.6</v>
      </c>
      <c r="L530" s="242"/>
      <c r="M530" s="31">
        <f>VLOOKUP(N530,M536:P540,4,FALSE)</f>
        <v>3</v>
      </c>
      <c r="N530" s="243">
        <f>VLOOKUP(N531,M536:P540,1,TRUE)</f>
        <v>48.84</v>
      </c>
      <c r="O530" s="248">
        <f>VLOOKUP(N530,M536:P540,2,FALSE)</f>
        <v>1.2</v>
      </c>
      <c r="P530" s="248">
        <f>VLOOKUP(N530,M536:P540,3,FALSE)</f>
        <v>0.6</v>
      </c>
      <c r="Q530" s="242"/>
      <c r="R530" s="242"/>
      <c r="S530" s="242"/>
      <c r="T530" s="242"/>
      <c r="U530" s="242"/>
    </row>
    <row r="531" spans="7:21" hidden="1" x14ac:dyDescent="0.25">
      <c r="H531" s="243"/>
      <c r="I531" s="32">
        <f>datos!H350</f>
        <v>51.1</v>
      </c>
      <c r="J531" s="249">
        <f>(J532-J530)/(I532-I530)*(I531-I530)+J530</f>
        <v>1.9466327827191861</v>
      </c>
      <c r="K531" s="249">
        <f>(K532-K530)/(I532-I530)*(I531-I530)+K530</f>
        <v>0.6</v>
      </c>
      <c r="L531" s="242"/>
      <c r="M531" s="243"/>
      <c r="N531" s="32">
        <f>datos!I350</f>
        <v>51.1</v>
      </c>
      <c r="O531" s="249">
        <f>(O532-O530)/(N532-N530)*(N531-N530)+O530</f>
        <v>1.9466327827191861</v>
      </c>
      <c r="P531" s="249">
        <f>(P532-P530)/(O532-O530)*(O531-O530)+P530</f>
        <v>0.6</v>
      </c>
      <c r="Q531" s="242"/>
      <c r="R531" s="242"/>
      <c r="S531" s="242"/>
      <c r="T531" s="242"/>
      <c r="U531" s="242"/>
    </row>
    <row r="532" spans="7:21" hidden="1" x14ac:dyDescent="0.25">
      <c r="H532" s="31">
        <f>H530+1</f>
        <v>4</v>
      </c>
      <c r="I532" s="243">
        <f>VLOOKUP(H530+1,G536:J540,2,FALSE)</f>
        <v>56.71</v>
      </c>
      <c r="J532" s="248">
        <f>VLOOKUP(I532,H536:K540,2,FALSE)</f>
        <v>3.8</v>
      </c>
      <c r="K532" s="248">
        <f>VLOOKUP(I532,H536:K540,3,FALSE)</f>
        <v>0.6</v>
      </c>
      <c r="L532" s="242"/>
      <c r="M532" s="31">
        <f>M530+1</f>
        <v>4</v>
      </c>
      <c r="N532" s="243">
        <f>VLOOKUP(M530+1,L536:O540,2,FALSE)</f>
        <v>56.71</v>
      </c>
      <c r="O532" s="248">
        <f>VLOOKUP(N532,M536:P540,2,FALSE)</f>
        <v>3.8</v>
      </c>
      <c r="P532" s="248">
        <f>VLOOKUP(N532,M536:P540,3,FALSE)</f>
        <v>0.6</v>
      </c>
      <c r="Q532" s="242"/>
      <c r="R532" s="242"/>
      <c r="S532" s="242"/>
      <c r="T532" s="242"/>
      <c r="U532" s="242"/>
    </row>
    <row r="533" spans="7:21" hidden="1" x14ac:dyDescent="0.25">
      <c r="H533" s="242"/>
      <c r="I533" s="242"/>
      <c r="J533" s="242"/>
      <c r="K533" s="242"/>
      <c r="L533" s="242"/>
      <c r="M533" s="242"/>
      <c r="N533" s="242"/>
      <c r="O533" s="242"/>
      <c r="P533" s="242"/>
      <c r="Q533" s="242"/>
      <c r="R533" s="242"/>
      <c r="S533" s="242"/>
      <c r="T533" s="242"/>
      <c r="U533" s="242"/>
    </row>
    <row r="534" spans="7:21" ht="15.6" hidden="1" x14ac:dyDescent="0.3">
      <c r="G534" s="443"/>
      <c r="H534" s="444" t="s">
        <v>187</v>
      </c>
      <c r="I534" s="444"/>
      <c r="J534" s="444"/>
      <c r="K534" s="444"/>
      <c r="L534" s="445"/>
      <c r="M534" s="444" t="s">
        <v>187</v>
      </c>
      <c r="N534" s="444"/>
      <c r="O534" s="444"/>
      <c r="P534" s="444"/>
      <c r="Q534" s="242"/>
      <c r="R534" s="242"/>
      <c r="S534" s="242"/>
      <c r="T534" s="242"/>
      <c r="U534" s="242"/>
    </row>
    <row r="535" spans="7:21" hidden="1" x14ac:dyDescent="0.25">
      <c r="G535" s="443"/>
      <c r="H535" s="446" t="s">
        <v>183</v>
      </c>
      <c r="I535" s="446" t="s">
        <v>6</v>
      </c>
      <c r="J535" s="446" t="s">
        <v>177</v>
      </c>
      <c r="K535" s="447"/>
      <c r="L535" s="447"/>
      <c r="M535" s="446" t="s">
        <v>183</v>
      </c>
      <c r="N535" s="446" t="s">
        <v>6</v>
      </c>
      <c r="O535" s="446" t="s">
        <v>177</v>
      </c>
      <c r="P535" s="447"/>
      <c r="Q535" s="242"/>
      <c r="R535" s="242"/>
      <c r="S535" s="242"/>
      <c r="T535" s="242"/>
      <c r="U535" s="242"/>
    </row>
    <row r="536" spans="7:21" hidden="1" x14ac:dyDescent="0.25">
      <c r="G536" s="448">
        <v>1</v>
      </c>
      <c r="H536" s="422">
        <v>37.869999999999997</v>
      </c>
      <c r="I536" s="422">
        <v>-2.5</v>
      </c>
      <c r="J536" s="422">
        <v>0.5</v>
      </c>
      <c r="K536" s="448">
        <v>1</v>
      </c>
      <c r="L536" s="448">
        <v>1</v>
      </c>
      <c r="M536" s="422">
        <v>37.869999999999997</v>
      </c>
      <c r="N536" s="422">
        <v>-2.5</v>
      </c>
      <c r="O536" s="422">
        <v>0.5</v>
      </c>
      <c r="P536" s="448">
        <v>1</v>
      </c>
      <c r="Q536" s="242"/>
      <c r="R536" s="242"/>
      <c r="S536" s="242"/>
      <c r="T536" s="242"/>
      <c r="U536" s="242"/>
    </row>
    <row r="537" spans="7:21" hidden="1" x14ac:dyDescent="0.25">
      <c r="G537" s="448">
        <v>2</v>
      </c>
      <c r="H537" s="422">
        <v>42.56</v>
      </c>
      <c r="I537" s="422">
        <v>-2.2000000000000002</v>
      </c>
      <c r="J537" s="422">
        <v>0.5</v>
      </c>
      <c r="K537" s="448">
        <v>2</v>
      </c>
      <c r="L537" s="448">
        <v>2</v>
      </c>
      <c r="M537" s="422">
        <v>42.56</v>
      </c>
      <c r="N537" s="422">
        <v>-2.2000000000000002</v>
      </c>
      <c r="O537" s="422">
        <v>0.5</v>
      </c>
      <c r="P537" s="448">
        <v>2</v>
      </c>
      <c r="Q537" s="242"/>
      <c r="R537" s="242"/>
      <c r="S537" s="242"/>
      <c r="T537" s="242"/>
      <c r="U537" s="242"/>
    </row>
    <row r="538" spans="7:21" hidden="1" x14ac:dyDescent="0.25">
      <c r="G538" s="448">
        <v>3</v>
      </c>
      <c r="H538" s="422">
        <v>48.84</v>
      </c>
      <c r="I538" s="422">
        <v>1.2</v>
      </c>
      <c r="J538" s="422">
        <v>0.6</v>
      </c>
      <c r="K538" s="448">
        <v>3</v>
      </c>
      <c r="L538" s="448">
        <v>3</v>
      </c>
      <c r="M538" s="422">
        <v>48.84</v>
      </c>
      <c r="N538" s="422">
        <v>1.2</v>
      </c>
      <c r="O538" s="422">
        <v>0.6</v>
      </c>
      <c r="P538" s="448">
        <v>3</v>
      </c>
      <c r="Q538" s="242"/>
      <c r="R538" s="242"/>
      <c r="S538" s="242"/>
      <c r="T538" s="242"/>
      <c r="U538" s="242"/>
    </row>
    <row r="539" spans="7:21" hidden="1" x14ac:dyDescent="0.25">
      <c r="G539" s="448">
        <v>4</v>
      </c>
      <c r="H539" s="422">
        <v>56.71</v>
      </c>
      <c r="I539" s="422">
        <v>3.8</v>
      </c>
      <c r="J539" s="422">
        <v>0.6</v>
      </c>
      <c r="K539" s="448">
        <v>4</v>
      </c>
      <c r="L539" s="448">
        <v>4</v>
      </c>
      <c r="M539" s="422">
        <v>56.71</v>
      </c>
      <c r="N539" s="422">
        <v>3.8</v>
      </c>
      <c r="O539" s="422">
        <v>0.6</v>
      </c>
      <c r="P539" s="448">
        <v>4</v>
      </c>
      <c r="Q539" s="242"/>
      <c r="R539" s="242"/>
      <c r="S539" s="242"/>
      <c r="T539" s="242"/>
      <c r="U539" s="242"/>
    </row>
    <row r="540" spans="7:21" hidden="1" x14ac:dyDescent="0.25">
      <c r="G540" s="448">
        <v>5</v>
      </c>
      <c r="H540" s="422">
        <v>66.400000000000006</v>
      </c>
      <c r="I540" s="422">
        <v>4.3</v>
      </c>
      <c r="J540" s="422">
        <v>0.6</v>
      </c>
      <c r="K540" s="448">
        <v>5</v>
      </c>
      <c r="L540" s="448">
        <v>5</v>
      </c>
      <c r="M540" s="422">
        <v>66.400000000000006</v>
      </c>
      <c r="N540" s="422">
        <v>4.3</v>
      </c>
      <c r="O540" s="422">
        <v>0.6</v>
      </c>
      <c r="P540" s="448">
        <v>5</v>
      </c>
      <c r="Q540" s="242"/>
      <c r="R540" s="242"/>
      <c r="S540" s="242"/>
      <c r="T540" s="242"/>
      <c r="U540" s="242"/>
    </row>
    <row r="541" spans="7:21" hidden="1" x14ac:dyDescent="0.25">
      <c r="G541" s="443"/>
      <c r="H541" s="445"/>
      <c r="I541" s="445"/>
      <c r="J541" s="445"/>
      <c r="K541" s="445"/>
      <c r="L541" s="445"/>
      <c r="M541" s="445"/>
      <c r="N541" s="445"/>
      <c r="O541" s="445"/>
      <c r="P541" s="445"/>
      <c r="Q541" s="242"/>
      <c r="R541" s="242"/>
      <c r="S541" s="242"/>
      <c r="T541" s="242"/>
      <c r="U541" s="242"/>
    </row>
    <row r="542" spans="7:21" hidden="1" x14ac:dyDescent="0.25">
      <c r="G542" s="443"/>
      <c r="H542" s="445"/>
      <c r="I542" s="445"/>
      <c r="J542" s="445"/>
      <c r="K542" s="445"/>
      <c r="L542" s="445"/>
      <c r="M542" s="445"/>
      <c r="N542" s="445"/>
      <c r="O542" s="445"/>
      <c r="P542" s="445"/>
      <c r="Q542" s="242"/>
      <c r="R542" s="242"/>
      <c r="S542" s="242"/>
      <c r="T542" s="242"/>
      <c r="U542" s="242"/>
    </row>
    <row r="543" spans="7:21" ht="15.6" hidden="1" x14ac:dyDescent="0.3">
      <c r="G543" s="443"/>
      <c r="H543" s="449" t="s">
        <v>188</v>
      </c>
      <c r="I543" s="449"/>
      <c r="J543" s="449"/>
      <c r="K543" s="449"/>
      <c r="L543" s="445"/>
      <c r="M543" s="449" t="s">
        <v>188</v>
      </c>
      <c r="N543" s="449"/>
      <c r="O543" s="449"/>
      <c r="P543" s="449"/>
      <c r="Q543" s="242"/>
      <c r="R543" s="242"/>
      <c r="S543" s="242"/>
      <c r="T543" s="242"/>
      <c r="U543" s="242"/>
    </row>
    <row r="544" spans="7:21" hidden="1" x14ac:dyDescent="0.25">
      <c r="G544" s="443"/>
      <c r="H544" s="450" t="s">
        <v>173</v>
      </c>
      <c r="I544" s="451" t="s">
        <v>184</v>
      </c>
      <c r="J544" s="446" t="s">
        <v>175</v>
      </c>
      <c r="K544" s="451" t="s">
        <v>176</v>
      </c>
      <c r="L544" s="445"/>
      <c r="M544" s="450" t="s">
        <v>173</v>
      </c>
      <c r="N544" s="451" t="s">
        <v>184</v>
      </c>
      <c r="O544" s="446" t="s">
        <v>175</v>
      </c>
      <c r="P544" s="451" t="s">
        <v>176</v>
      </c>
      <c r="Q544" s="242"/>
      <c r="R544" s="242"/>
      <c r="S544" s="242"/>
      <c r="T544" s="242"/>
      <c r="U544" s="242"/>
    </row>
    <row r="545" spans="7:21" hidden="1" x14ac:dyDescent="0.25">
      <c r="G545" s="443"/>
      <c r="H545" s="422">
        <f>VLOOKUP(I545,H550:K556,4,FALSE)</f>
        <v>6</v>
      </c>
      <c r="I545" s="452">
        <f>VLOOKUP(I546,H550:K556,1,TRUE)</f>
        <v>99773</v>
      </c>
      <c r="J545" s="453">
        <f>VLOOKUP(I545,H550:K556,2,FALSE)</f>
        <v>-1</v>
      </c>
      <c r="K545" s="453">
        <f>VLOOKUP(I545,H550:K556,3,FALSE)</f>
        <v>4</v>
      </c>
      <c r="L545" s="445"/>
      <c r="M545" s="422">
        <f>VLOOKUP(N545,M550:P556,4,FALSE)</f>
        <v>6</v>
      </c>
      <c r="N545" s="452">
        <f>VLOOKUP(N546,M550:P556,1,TRUE)</f>
        <v>99773</v>
      </c>
      <c r="O545" s="453">
        <f>VLOOKUP(N545,M550:P556,2,FALSE)</f>
        <v>-1</v>
      </c>
      <c r="P545" s="453">
        <f>VLOOKUP(N545,M550:P556,3,FALSE)</f>
        <v>4</v>
      </c>
      <c r="Q545" s="242"/>
      <c r="R545" s="242"/>
      <c r="S545" s="242"/>
      <c r="T545" s="242"/>
      <c r="U545" s="242"/>
    </row>
    <row r="546" spans="7:21" hidden="1" x14ac:dyDescent="0.25">
      <c r="G546" s="443"/>
      <c r="H546" s="422"/>
      <c r="I546" s="452">
        <f>datos!H351*100</f>
        <v>100100</v>
      </c>
      <c r="J546" s="453">
        <f>(J547-J545)/(I547-I545)*(I546-I545)+J545</f>
        <v>-0.86884588388649353</v>
      </c>
      <c r="K546" s="453">
        <f>(K547-K545)/(I547-I545)*(I546-I545)+K545</f>
        <v>4</v>
      </c>
      <c r="L546" s="445"/>
      <c r="M546" s="422"/>
      <c r="N546" s="452">
        <f>datos!I351*100</f>
        <v>100100</v>
      </c>
      <c r="O546" s="453">
        <f>(O547-O545)/(N547-N545)*(N546-N545)+O545</f>
        <v>-0.86884588388649353</v>
      </c>
      <c r="P546" s="453">
        <f>(P547-P545)/(N547-N545)*(N546-N545)+P545</f>
        <v>4</v>
      </c>
      <c r="Q546" s="242"/>
      <c r="R546" s="242"/>
      <c r="S546" s="242"/>
      <c r="T546" s="242"/>
      <c r="U546" s="242"/>
    </row>
    <row r="547" spans="7:21" hidden="1" x14ac:dyDescent="0.25">
      <c r="G547" s="443"/>
      <c r="H547" s="422">
        <f>H545+1</f>
        <v>7</v>
      </c>
      <c r="I547" s="452">
        <f>VLOOKUP(H545+1,G550:J556,2,FALSE)</f>
        <v>109746</v>
      </c>
      <c r="J547" s="453">
        <f>VLOOKUP(I547,H550:K556,2,FALSE)</f>
        <v>3</v>
      </c>
      <c r="K547" s="453">
        <f>VLOOKUP(I547,H550:K556,3,FALSE)</f>
        <v>4</v>
      </c>
      <c r="L547" s="445"/>
      <c r="M547" s="422">
        <f>M545+1</f>
        <v>7</v>
      </c>
      <c r="N547" s="452">
        <f>VLOOKUP(M545+1,L550:O556,2,FALSE)</f>
        <v>109746</v>
      </c>
      <c r="O547" s="453">
        <f>VLOOKUP(N547,M550:P556,2,FALSE)</f>
        <v>3</v>
      </c>
      <c r="P547" s="453">
        <f>VLOOKUP(N547,M550:P556,3,FALSE)</f>
        <v>4</v>
      </c>
      <c r="Q547" s="242"/>
      <c r="R547" s="242"/>
      <c r="S547" s="242"/>
      <c r="T547" s="242"/>
      <c r="U547" s="242"/>
    </row>
    <row r="548" spans="7:21" hidden="1" x14ac:dyDescent="0.25">
      <c r="G548" s="443"/>
      <c r="H548" s="445"/>
      <c r="I548" s="445"/>
      <c r="J548" s="445"/>
      <c r="K548" s="445"/>
      <c r="L548" s="445"/>
      <c r="M548" s="445"/>
      <c r="N548" s="445"/>
      <c r="O548" s="445"/>
      <c r="P548" s="445"/>
      <c r="Q548" s="242"/>
      <c r="R548" s="242"/>
      <c r="S548" s="242"/>
      <c r="T548" s="242"/>
      <c r="U548" s="242"/>
    </row>
    <row r="549" spans="7:21" hidden="1" x14ac:dyDescent="0.25">
      <c r="G549" s="443"/>
      <c r="H549" s="446" t="s">
        <v>185</v>
      </c>
      <c r="I549" s="446" t="s">
        <v>175</v>
      </c>
      <c r="J549" s="446" t="s">
        <v>177</v>
      </c>
      <c r="K549" s="447"/>
      <c r="L549" s="447"/>
      <c r="M549" s="446" t="s">
        <v>185</v>
      </c>
      <c r="N549" s="446" t="s">
        <v>175</v>
      </c>
      <c r="O549" s="446" t="s">
        <v>177</v>
      </c>
      <c r="P549" s="447"/>
      <c r="Q549" s="242"/>
      <c r="R549" s="242"/>
      <c r="S549" s="242"/>
      <c r="T549" s="242"/>
      <c r="U549" s="242"/>
    </row>
    <row r="550" spans="7:21" hidden="1" x14ac:dyDescent="0.25">
      <c r="G550" s="448">
        <v>1</v>
      </c>
      <c r="H550" s="452">
        <v>49882</v>
      </c>
      <c r="I550" s="422">
        <v>4</v>
      </c>
      <c r="J550" s="422">
        <v>4</v>
      </c>
      <c r="K550" s="448">
        <v>1</v>
      </c>
      <c r="L550" s="448">
        <v>1</v>
      </c>
      <c r="M550" s="454">
        <v>49882</v>
      </c>
      <c r="N550" s="422">
        <v>4</v>
      </c>
      <c r="O550" s="422">
        <v>4</v>
      </c>
      <c r="P550" s="448">
        <v>1</v>
      </c>
      <c r="Q550" s="242"/>
      <c r="R550" s="242"/>
      <c r="S550" s="242"/>
      <c r="T550" s="242"/>
      <c r="U550" s="242"/>
    </row>
    <row r="551" spans="7:21" hidden="1" x14ac:dyDescent="0.25">
      <c r="G551" s="448">
        <v>2</v>
      </c>
      <c r="H551" s="452">
        <v>59861</v>
      </c>
      <c r="I551" s="422">
        <v>2</v>
      </c>
      <c r="J551" s="422">
        <v>4</v>
      </c>
      <c r="K551" s="448">
        <v>2</v>
      </c>
      <c r="L551" s="448">
        <v>2</v>
      </c>
      <c r="M551" s="452">
        <v>59861</v>
      </c>
      <c r="N551" s="422">
        <v>2</v>
      </c>
      <c r="O551" s="422">
        <v>4</v>
      </c>
      <c r="P551" s="448">
        <v>2</v>
      </c>
      <c r="Q551" s="242"/>
      <c r="R551" s="242"/>
      <c r="S551" s="242"/>
      <c r="T551" s="242"/>
      <c r="U551" s="242"/>
    </row>
    <row r="552" spans="7:21" hidden="1" x14ac:dyDescent="0.25">
      <c r="G552" s="448">
        <v>3</v>
      </c>
      <c r="H552" s="452">
        <v>69839</v>
      </c>
      <c r="I552" s="422">
        <v>2</v>
      </c>
      <c r="J552" s="422">
        <v>4</v>
      </c>
      <c r="K552" s="448">
        <v>3</v>
      </c>
      <c r="L552" s="448">
        <v>3</v>
      </c>
      <c r="M552" s="452">
        <v>69839</v>
      </c>
      <c r="N552" s="422">
        <v>2</v>
      </c>
      <c r="O552" s="422">
        <v>4</v>
      </c>
      <c r="P552" s="448">
        <v>3</v>
      </c>
      <c r="Q552" s="242"/>
      <c r="R552" s="242"/>
      <c r="S552" s="242"/>
      <c r="T552" s="242"/>
      <c r="U552" s="242"/>
    </row>
    <row r="553" spans="7:21" hidden="1" x14ac:dyDescent="0.25">
      <c r="G553" s="448">
        <v>4</v>
      </c>
      <c r="H553" s="452">
        <v>79816</v>
      </c>
      <c r="I553" s="422">
        <v>2</v>
      </c>
      <c r="J553" s="422">
        <v>4</v>
      </c>
      <c r="K553" s="448">
        <v>4</v>
      </c>
      <c r="L553" s="448">
        <v>4</v>
      </c>
      <c r="M553" s="452">
        <v>79816</v>
      </c>
      <c r="N553" s="422">
        <v>2</v>
      </c>
      <c r="O553" s="422">
        <v>4</v>
      </c>
      <c r="P553" s="448">
        <v>4</v>
      </c>
      <c r="Q553" s="242"/>
      <c r="R553" s="242"/>
      <c r="S553" s="242"/>
      <c r="T553" s="242"/>
      <c r="U553" s="242"/>
    </row>
    <row r="554" spans="7:21" hidden="1" x14ac:dyDescent="0.25">
      <c r="G554" s="448">
        <v>5</v>
      </c>
      <c r="H554" s="452">
        <v>89773</v>
      </c>
      <c r="I554" s="422">
        <v>0</v>
      </c>
      <c r="J554" s="422">
        <v>4</v>
      </c>
      <c r="K554" s="448">
        <v>5</v>
      </c>
      <c r="L554" s="448">
        <v>5</v>
      </c>
      <c r="M554" s="452">
        <v>89773</v>
      </c>
      <c r="N554" s="422">
        <v>0</v>
      </c>
      <c r="O554" s="422">
        <v>4</v>
      </c>
      <c r="P554" s="448">
        <v>5</v>
      </c>
      <c r="Q554" s="242"/>
      <c r="R554" s="242"/>
      <c r="S554" s="242"/>
      <c r="T554" s="242"/>
      <c r="U554" s="242"/>
    </row>
    <row r="555" spans="7:21" hidden="1" x14ac:dyDescent="0.25">
      <c r="G555" s="448">
        <v>6</v>
      </c>
      <c r="H555" s="452">
        <v>99773</v>
      </c>
      <c r="I555" s="422">
        <v>-1</v>
      </c>
      <c r="J555" s="422">
        <v>4</v>
      </c>
      <c r="K555" s="448">
        <v>6</v>
      </c>
      <c r="L555" s="448">
        <v>6</v>
      </c>
      <c r="M555" s="452">
        <v>99773</v>
      </c>
      <c r="N555" s="422">
        <v>-1</v>
      </c>
      <c r="O555" s="422">
        <v>4</v>
      </c>
      <c r="P555" s="448">
        <v>6</v>
      </c>
      <c r="Q555" s="242"/>
      <c r="R555" s="242"/>
      <c r="S555" s="242"/>
      <c r="T555" s="242"/>
      <c r="U555" s="242"/>
    </row>
    <row r="556" spans="7:21" hidden="1" x14ac:dyDescent="0.25">
      <c r="G556" s="448">
        <v>7</v>
      </c>
      <c r="H556" s="452">
        <v>109746</v>
      </c>
      <c r="I556" s="422">
        <v>3</v>
      </c>
      <c r="J556" s="422">
        <v>4</v>
      </c>
      <c r="K556" s="448">
        <v>7</v>
      </c>
      <c r="L556" s="448">
        <v>7</v>
      </c>
      <c r="M556" s="452">
        <v>109746</v>
      </c>
      <c r="N556" s="422">
        <v>3</v>
      </c>
      <c r="O556" s="422">
        <v>4</v>
      </c>
      <c r="P556" s="448">
        <v>7</v>
      </c>
      <c r="Q556" s="242"/>
      <c r="R556" s="242"/>
      <c r="S556" s="242"/>
      <c r="T556" s="242"/>
      <c r="U556" s="242"/>
    </row>
    <row r="557" spans="7:21" hidden="1" x14ac:dyDescent="0.25">
      <c r="G557" s="443"/>
      <c r="H557" s="445"/>
      <c r="I557" s="445"/>
      <c r="J557" s="445"/>
      <c r="K557" s="445"/>
      <c r="L557" s="445"/>
      <c r="M557" s="445"/>
      <c r="N557" s="445"/>
      <c r="O557" s="445"/>
      <c r="P557" s="445"/>
      <c r="Q557" s="242"/>
      <c r="R557" s="242"/>
      <c r="S557" s="242"/>
      <c r="T557" s="242"/>
      <c r="U557" s="242"/>
    </row>
    <row r="558" spans="7:21" hidden="1" x14ac:dyDescent="0.25">
      <c r="G558" s="443"/>
      <c r="H558" s="443"/>
      <c r="I558" s="443"/>
      <c r="J558" s="443"/>
      <c r="K558" s="443"/>
      <c r="L558" s="443"/>
      <c r="M558" s="443"/>
      <c r="N558" s="443"/>
      <c r="O558" s="443"/>
      <c r="P558" s="443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H347:P347"/>
    <mergeCell ref="H349:K349"/>
    <mergeCell ref="M349:P349"/>
    <mergeCell ref="G355:K355"/>
    <mergeCell ref="L355:P355"/>
    <mergeCell ref="R357:S357"/>
    <mergeCell ref="AF94:AM94"/>
    <mergeCell ref="AG95:AM95"/>
    <mergeCell ref="R324:T324"/>
    <mergeCell ref="N334:O334"/>
    <mergeCell ref="P334:Q334"/>
    <mergeCell ref="R334:R335"/>
    <mergeCell ref="S334:U335"/>
    <mergeCell ref="AS57:AS58"/>
    <mergeCell ref="G58:I58"/>
    <mergeCell ref="F59:H59"/>
    <mergeCell ref="B62:E62"/>
    <mergeCell ref="B66:E66"/>
    <mergeCell ref="B71:W71"/>
    <mergeCell ref="D56:E56"/>
    <mergeCell ref="G56:H56"/>
    <mergeCell ref="K56:K57"/>
    <mergeCell ref="L56:L57"/>
    <mergeCell ref="D57:E57"/>
    <mergeCell ref="G57:H57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AS52:AS53"/>
    <mergeCell ref="D53:E53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C40:D40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10:E10"/>
    <mergeCell ref="BT10:BT12"/>
    <mergeCell ref="C12:E12"/>
    <mergeCell ref="B15:E15"/>
    <mergeCell ref="C16:E16"/>
    <mergeCell ref="BT16:BT17"/>
    <mergeCell ref="AQ94:AX94"/>
    <mergeCell ref="AR95:AX95"/>
    <mergeCell ref="C5:E5"/>
    <mergeCell ref="C6:E6"/>
    <mergeCell ref="B9:E9"/>
    <mergeCell ref="AQ9:AS9"/>
    <mergeCell ref="AX9:AZ9"/>
    <mergeCell ref="BE9:BG9"/>
    <mergeCell ref="B1:E1"/>
    <mergeCell ref="B2:B3"/>
    <mergeCell ref="C2:E2"/>
    <mergeCell ref="C3:E3"/>
    <mergeCell ref="C4:E4"/>
    <mergeCell ref="AB4:AD4"/>
    <mergeCell ref="D46:E46"/>
    <mergeCell ref="G46:H46"/>
    <mergeCell ref="K46:K47"/>
    <mergeCell ref="L46:L47"/>
    <mergeCell ref="AS46:AS47"/>
    <mergeCell ref="AW46:AW47"/>
    <mergeCell ref="G47:H47"/>
    <mergeCell ref="D54:E54"/>
    <mergeCell ref="G54:H54"/>
    <mergeCell ref="K54:K55"/>
  </mergeCells>
  <conditionalFormatting sqref="M143:M248">
    <cfRule type="expression" dxfId="23" priority="16">
      <formula>M143&gt;P143</formula>
    </cfRule>
  </conditionalFormatting>
  <conditionalFormatting sqref="N97:N248">
    <cfRule type="cellIs" dxfId="22" priority="1" operator="lessThan">
      <formula>Z97</formula>
    </cfRule>
  </conditionalFormatting>
  <conditionalFormatting sqref="P97:P248">
    <cfRule type="expression" dxfId="21" priority="2">
      <formula>P97&gt;S97</formula>
    </cfRule>
  </conditionalFormatting>
  <hyperlinks>
    <hyperlink ref="BQ44" r:id="rId1" xr:uid="{00000000-0004-0000-1500-00000000000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765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7658" r:id="rId4"/>
      </mc:Fallback>
    </mc:AlternateContent>
    <mc:AlternateContent xmlns:mc="http://schemas.openxmlformats.org/markup-compatibility/2006">
      <mc:Choice Requires="x14">
        <oleObject progId="Equation.3" shapeId="2765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7659" r:id="rId6"/>
      </mc:Fallback>
    </mc:AlternateContent>
    <mc:AlternateContent xmlns:mc="http://schemas.openxmlformats.org/markup-compatibility/2006">
      <mc:Choice Requires="x14">
        <oleObject progId="Equation.3" shapeId="2766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7661" r:id="rId8"/>
      </mc:Fallback>
    </mc:AlternateContent>
    <mc:AlternateContent xmlns:mc="http://schemas.openxmlformats.org/markup-compatibility/2006">
      <mc:Choice Requires="x14">
        <oleObject progId="Equation.3" shapeId="2766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7662" r:id="rId10"/>
      </mc:Fallback>
    </mc:AlternateContent>
    <mc:AlternateContent xmlns:mc="http://schemas.openxmlformats.org/markup-compatibility/2006">
      <mc:Choice Requires="x14">
        <oleObject progId="Equation.3" shapeId="2766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7663" r:id="rId12"/>
      </mc:Fallback>
    </mc:AlternateContent>
    <mc:AlternateContent xmlns:mc="http://schemas.openxmlformats.org/markup-compatibility/2006">
      <mc:Choice Requires="x14">
        <oleObject progId="Equation.3" shapeId="2766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7664" r:id="rId14"/>
      </mc:Fallback>
    </mc:AlternateContent>
    <mc:AlternateContent xmlns:mc="http://schemas.openxmlformats.org/markup-compatibility/2006">
      <mc:Choice Requires="x14">
        <oleObject progId="Equation.3" shapeId="2766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7665" r:id="rId16"/>
      </mc:Fallback>
    </mc:AlternateContent>
    <mc:AlternateContent xmlns:mc="http://schemas.openxmlformats.org/markup-compatibility/2006">
      <mc:Choice Requires="x14">
        <oleObject progId="Equation.3" shapeId="2766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7666" r:id="rId18"/>
      </mc:Fallback>
    </mc:AlternateContent>
    <mc:AlternateContent xmlns:mc="http://schemas.openxmlformats.org/markup-compatibility/2006">
      <mc:Choice Requires="x14">
        <oleObject progId="Equation.3" shapeId="2766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7669" r:id="rId19"/>
      </mc:Fallback>
    </mc:AlternateContent>
    <mc:AlternateContent xmlns:mc="http://schemas.openxmlformats.org/markup-compatibility/2006">
      <mc:Choice Requires="x14">
        <oleObject progId="Equation.3" shapeId="276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7670" r:id="rId21"/>
      </mc:Fallback>
    </mc:AlternateContent>
    <mc:AlternateContent xmlns:mc="http://schemas.openxmlformats.org/markup-compatibility/2006">
      <mc:Choice Requires="x14">
        <oleObject progId="Equation.3" shapeId="27688" r:id="rId23">
          <objectPr defaultSize="0" autoPict="0" r:id="rId24">
            <anchor moveWithCells="1" sizeWithCells="1">
              <from>
                <xdr:col>7</xdr:col>
                <xdr:colOff>601980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213360</xdr:rowOff>
              </to>
            </anchor>
          </objectPr>
        </oleObject>
      </mc:Choice>
      <mc:Fallback>
        <oleObject progId="Equation.3" shapeId="27688" r:id="rId23"/>
      </mc:Fallback>
    </mc:AlternateContent>
  </oleObjects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B2:E6"/>
  <sheetViews>
    <sheetView workbookViewId="0">
      <selection activeCell="D6" sqref="D6"/>
    </sheetView>
  </sheetViews>
  <sheetFormatPr baseColWidth="10" defaultColWidth="11.44140625" defaultRowHeight="14.4" x14ac:dyDescent="0.3"/>
  <cols>
    <col min="2" max="3" width="20.5546875" customWidth="1"/>
    <col min="4" max="4" width="23.33203125" bestFit="1" customWidth="1"/>
    <col min="5" max="5" width="29" customWidth="1"/>
  </cols>
  <sheetData>
    <row r="2" spans="2:5" x14ac:dyDescent="0.3">
      <c r="E2" s="534"/>
    </row>
    <row r="3" spans="2:5" x14ac:dyDescent="0.3">
      <c r="B3" s="535" t="s">
        <v>754</v>
      </c>
      <c r="C3" s="535" t="s">
        <v>755</v>
      </c>
      <c r="D3" s="535" t="s">
        <v>756</v>
      </c>
      <c r="E3" s="535" t="s">
        <v>757</v>
      </c>
    </row>
    <row r="4" spans="2:5" x14ac:dyDescent="0.3">
      <c r="B4" s="536">
        <f>datos!T8</f>
        <v>0</v>
      </c>
      <c r="C4" s="537">
        <f>datos!T6</f>
        <v>0</v>
      </c>
      <c r="D4" s="538">
        <f>datos!T7</f>
        <v>0</v>
      </c>
      <c r="E4" s="538" t="str">
        <f>'DA Individual (g-mg)'!M10</f>
        <v>NI-MC-M-2056-2024</v>
      </c>
    </row>
    <row r="6" spans="2:5" x14ac:dyDescent="0.3">
      <c r="E6" s="61"/>
    </row>
  </sheetData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82"/>
  <sheetViews>
    <sheetView view="pageLayout" topLeftCell="A2" zoomScaleNormal="100" zoomScaleSheetLayoutView="100" workbookViewId="0">
      <selection activeCell="Q65" sqref="Q6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4.5546875" customWidth="1"/>
    <col min="6" max="6" width="3.6640625" customWidth="1"/>
    <col min="7" max="7" width="7.109375" customWidth="1"/>
    <col min="8" max="8" width="3" customWidth="1"/>
    <col min="9" max="9" width="5.88671875" customWidth="1"/>
    <col min="10" max="10" width="1.109375" customWidth="1"/>
    <col min="11" max="11" width="3" customWidth="1"/>
    <col min="12" max="12" width="4.109375" customWidth="1"/>
    <col min="13" max="13" width="3.44140625" customWidth="1"/>
    <col min="14" max="14" width="3.109375" customWidth="1"/>
    <col min="15" max="15" width="2.33203125" customWidth="1"/>
    <col min="16" max="16" width="4.441406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6640625" customWidth="1"/>
    <col min="23" max="23" width="2.4414062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2:23" ht="0.75" hidden="1" customHeight="1" x14ac:dyDescent="0.3">
      <c r="B1" s="481"/>
      <c r="C1" s="482"/>
      <c r="D1" s="482"/>
      <c r="E1" s="482"/>
      <c r="F1" s="482"/>
      <c r="G1" s="482"/>
      <c r="H1" s="482"/>
      <c r="I1" s="482"/>
      <c r="J1" s="482"/>
      <c r="K1" s="483"/>
    </row>
    <row r="2" spans="2:23" ht="0.75" customHeight="1" x14ac:dyDescent="0.3">
      <c r="B2" s="484"/>
      <c r="C2" s="484"/>
      <c r="D2" s="484"/>
      <c r="E2" s="484"/>
      <c r="F2" s="484"/>
      <c r="G2" s="484"/>
      <c r="H2" s="484"/>
      <c r="I2" s="484"/>
      <c r="J2" s="484"/>
      <c r="K2" s="485"/>
    </row>
    <row r="3" spans="2:23" ht="16.5" customHeight="1" x14ac:dyDescent="0.3"/>
    <row r="4" spans="2:23" ht="16.5" customHeight="1" x14ac:dyDescent="0.3"/>
    <row r="5" spans="2:23" ht="16.5" customHeight="1" x14ac:dyDescent="0.3"/>
    <row r="6" spans="2:23" ht="16.5" customHeight="1" x14ac:dyDescent="0.3"/>
    <row r="7" spans="2:23" ht="16.5" customHeight="1" x14ac:dyDescent="0.3"/>
    <row r="8" spans="2:23" ht="16.5" customHeight="1" x14ac:dyDescent="0.3"/>
    <row r="9" spans="2:23" ht="16.5" customHeight="1" x14ac:dyDescent="0.3"/>
    <row r="10" spans="2:23" x14ac:dyDescent="0.3">
      <c r="B10" s="486"/>
      <c r="C10" s="487"/>
      <c r="D10" s="472" t="s">
        <v>352</v>
      </c>
      <c r="E10" s="487"/>
      <c r="F10" s="487"/>
      <c r="G10" s="174"/>
      <c r="H10" s="174"/>
      <c r="I10" s="174"/>
      <c r="J10" s="174"/>
      <c r="K10" s="174"/>
      <c r="L10" s="215"/>
      <c r="M10" s="656" t="str">
        <f>datos!D5</f>
        <v>NI-MC-M-2056-2024</v>
      </c>
      <c r="N10" s="656"/>
      <c r="O10" s="656"/>
      <c r="P10" s="656"/>
      <c r="Q10" s="656"/>
      <c r="R10" s="656"/>
      <c r="S10" s="656"/>
      <c r="T10" s="656"/>
      <c r="U10" s="656"/>
      <c r="V10" s="497"/>
      <c r="W10" s="497"/>
    </row>
    <row r="11" spans="2:23" x14ac:dyDescent="0.3">
      <c r="B11" s="486"/>
      <c r="C11" s="487"/>
      <c r="D11" s="472" t="s">
        <v>789</v>
      </c>
      <c r="E11" s="487"/>
      <c r="F11" s="487"/>
      <c r="G11" s="174"/>
      <c r="H11" s="174"/>
      <c r="I11" s="174"/>
      <c r="J11" s="174"/>
      <c r="K11" s="174"/>
      <c r="L11" s="215"/>
      <c r="M11" s="656" t="str">
        <f>datos!H8</f>
        <v>NI-CS-0600-22</v>
      </c>
      <c r="N11" s="656"/>
      <c r="O11" s="656"/>
      <c r="P11" s="656"/>
      <c r="Q11" s="656"/>
      <c r="R11" s="656"/>
      <c r="S11" s="656"/>
      <c r="T11" s="656"/>
      <c r="U11" s="656"/>
      <c r="V11" s="494"/>
      <c r="W11" s="494"/>
    </row>
    <row r="12" spans="2:23" x14ac:dyDescent="0.3">
      <c r="B12" s="486"/>
      <c r="C12" s="486"/>
      <c r="D12" s="472" t="s">
        <v>353</v>
      </c>
      <c r="E12" s="486"/>
      <c r="F12" s="486"/>
      <c r="G12" s="174"/>
      <c r="H12" s="174"/>
      <c r="I12" s="174"/>
      <c r="J12" s="174"/>
      <c r="K12" s="174"/>
      <c r="L12" s="488"/>
      <c r="M12" s="656" t="str">
        <f>datos!H7</f>
        <v>2024-02-23</v>
      </c>
      <c r="N12" s="656"/>
      <c r="O12" s="656"/>
      <c r="P12" s="656"/>
      <c r="Q12" s="656"/>
      <c r="R12" s="656"/>
      <c r="S12" s="656"/>
      <c r="T12" s="656"/>
      <c r="U12" s="656"/>
      <c r="V12" s="488"/>
      <c r="W12" s="488"/>
    </row>
    <row r="13" spans="2:23" x14ac:dyDescent="0.3">
      <c r="B13" s="486"/>
      <c r="C13" s="486"/>
      <c r="D13" s="472" t="s">
        <v>1355</v>
      </c>
      <c r="E13" s="486"/>
      <c r="F13" s="486"/>
      <c r="G13" s="561"/>
      <c r="H13" s="561"/>
      <c r="I13" s="561"/>
      <c r="J13" s="561"/>
      <c r="K13" s="561"/>
      <c r="L13" s="488"/>
      <c r="M13" s="671">
        <v>45345</v>
      </c>
      <c r="N13" s="671"/>
      <c r="O13" s="671"/>
      <c r="P13" s="671"/>
      <c r="Q13" s="671"/>
      <c r="R13" s="671"/>
      <c r="S13" s="671"/>
      <c r="T13" s="671"/>
      <c r="U13" s="671"/>
      <c r="V13" s="510"/>
      <c r="W13" s="510"/>
    </row>
    <row r="14" spans="2:23" x14ac:dyDescent="0.3">
      <c r="B14" s="486"/>
      <c r="C14" s="486"/>
      <c r="D14" s="472" t="s">
        <v>746</v>
      </c>
      <c r="E14" s="486"/>
      <c r="F14" s="486"/>
      <c r="G14" s="174"/>
      <c r="H14" s="174"/>
      <c r="I14" s="174"/>
      <c r="J14" s="174"/>
      <c r="K14" s="174"/>
      <c r="L14" s="488"/>
      <c r="M14" s="671">
        <v>45345</v>
      </c>
      <c r="N14" s="671"/>
      <c r="O14" s="671"/>
      <c r="P14" s="671"/>
      <c r="Q14" s="671"/>
      <c r="R14" s="671"/>
      <c r="S14" s="671"/>
      <c r="T14" s="671"/>
      <c r="U14" s="671"/>
      <c r="V14" s="510"/>
      <c r="W14" s="510"/>
    </row>
    <row r="15" spans="2:23" x14ac:dyDescent="0.3">
      <c r="B15" s="486"/>
      <c r="C15" s="486"/>
      <c r="D15" s="472" t="s">
        <v>354</v>
      </c>
      <c r="E15" s="486"/>
      <c r="F15" s="486"/>
      <c r="G15" s="174"/>
      <c r="H15" s="174"/>
      <c r="I15" s="174"/>
      <c r="J15" s="174"/>
      <c r="K15" s="174"/>
      <c r="L15" s="215"/>
      <c r="M15" s="670" t="str">
        <f>datos!D7</f>
        <v>Masa Patrón</v>
      </c>
      <c r="N15" s="656"/>
      <c r="O15" s="656"/>
      <c r="P15" s="656"/>
      <c r="Q15" s="656"/>
      <c r="R15" s="656"/>
      <c r="S15" s="656"/>
      <c r="T15" s="656"/>
      <c r="U15" s="656"/>
      <c r="V15" s="215"/>
      <c r="W15" s="215"/>
    </row>
    <row r="16" spans="2:23" x14ac:dyDescent="0.3">
      <c r="B16" s="486"/>
      <c r="C16" s="486"/>
      <c r="D16" s="472" t="s">
        <v>701</v>
      </c>
      <c r="E16" s="486"/>
      <c r="F16" s="486"/>
      <c r="G16" s="174"/>
      <c r="H16" s="174"/>
      <c r="I16" s="174"/>
      <c r="J16" s="174"/>
      <c r="K16" s="174"/>
      <c r="L16" s="215"/>
      <c r="M16" s="670" t="str">
        <f>datos!D8</f>
        <v>Mettler Toledo</v>
      </c>
      <c r="N16" s="656"/>
      <c r="O16" s="656"/>
      <c r="P16" s="656"/>
      <c r="Q16" s="656"/>
      <c r="R16" s="656"/>
      <c r="S16" s="656"/>
      <c r="T16" s="656"/>
      <c r="U16" s="656"/>
      <c r="V16" s="215"/>
      <c r="W16" s="215"/>
    </row>
    <row r="17" spans="1:23" x14ac:dyDescent="0.3">
      <c r="B17" s="486"/>
      <c r="C17" s="486"/>
      <c r="D17" s="472" t="s">
        <v>116</v>
      </c>
      <c r="E17" s="486"/>
      <c r="F17" s="486"/>
      <c r="G17" s="174"/>
      <c r="H17" s="174"/>
      <c r="I17" s="174"/>
      <c r="J17" s="174"/>
      <c r="K17" s="174"/>
      <c r="L17" s="215"/>
      <c r="M17" s="656" t="str">
        <f>'Salida de datos'!D8</f>
        <v>(N/A)</v>
      </c>
      <c r="N17" s="656"/>
      <c r="O17" s="656"/>
      <c r="P17" s="656"/>
      <c r="Q17" s="656"/>
      <c r="R17" s="656"/>
      <c r="S17" s="656"/>
      <c r="T17" s="656"/>
      <c r="U17" s="656"/>
      <c r="V17" s="215"/>
      <c r="W17" s="215"/>
    </row>
    <row r="18" spans="1:23" x14ac:dyDescent="0.3">
      <c r="B18" s="486"/>
      <c r="C18" s="486"/>
      <c r="D18" s="472" t="s">
        <v>702</v>
      </c>
      <c r="E18" s="486"/>
      <c r="F18" s="486"/>
      <c r="G18" s="174"/>
      <c r="H18" s="174"/>
      <c r="I18" s="174"/>
      <c r="J18" s="174"/>
      <c r="K18" s="174"/>
      <c r="L18" s="215"/>
      <c r="M18" s="670" t="str">
        <f>datos!D9</f>
        <v>N/A</v>
      </c>
      <c r="N18" s="656"/>
      <c r="O18" s="656"/>
      <c r="P18" s="656"/>
      <c r="Q18" s="656"/>
      <c r="R18" s="656"/>
      <c r="S18" s="656"/>
      <c r="T18" s="656"/>
      <c r="U18" s="656"/>
      <c r="V18" s="215"/>
      <c r="W18" s="215"/>
    </row>
    <row r="19" spans="1:23" x14ac:dyDescent="0.3">
      <c r="B19" s="486"/>
      <c r="C19" s="486"/>
      <c r="D19" s="472" t="s">
        <v>714</v>
      </c>
      <c r="E19" s="486"/>
      <c r="F19" s="486"/>
      <c r="G19" s="174"/>
      <c r="H19" s="174"/>
      <c r="I19" s="174"/>
      <c r="J19" s="174"/>
      <c r="K19" s="174"/>
      <c r="L19" s="215"/>
      <c r="M19" s="680">
        <f>'Salida de datos'!G8</f>
        <v>20000</v>
      </c>
      <c r="N19" s="680"/>
      <c r="O19" s="680"/>
      <c r="P19" s="564" t="str">
        <f>K29</f>
        <v>g</v>
      </c>
      <c r="Q19" s="215"/>
      <c r="R19" s="215"/>
      <c r="S19" s="215"/>
      <c r="T19" s="215"/>
      <c r="U19" s="215"/>
      <c r="V19" s="215"/>
      <c r="W19" s="215"/>
    </row>
    <row r="20" spans="1:23" x14ac:dyDescent="0.3">
      <c r="B20" s="486"/>
      <c r="C20" s="486"/>
      <c r="D20" s="472" t="s">
        <v>703</v>
      </c>
      <c r="E20" s="486"/>
      <c r="F20" s="486"/>
      <c r="G20" s="174"/>
      <c r="H20" s="174"/>
      <c r="I20" s="174"/>
      <c r="J20" s="174"/>
      <c r="K20" s="174"/>
      <c r="L20" s="215"/>
      <c r="M20" s="656" t="str">
        <f>'Salida de datos'!D8</f>
        <v>(N/A)</v>
      </c>
      <c r="N20" s="656"/>
      <c r="O20" s="656"/>
      <c r="P20" s="656"/>
      <c r="Q20" s="656"/>
      <c r="R20" s="656"/>
      <c r="S20" s="656"/>
      <c r="T20" s="656"/>
      <c r="U20" s="656"/>
      <c r="V20" s="215"/>
      <c r="W20" s="215"/>
    </row>
    <row r="21" spans="1:23" x14ac:dyDescent="0.3">
      <c r="B21" s="486"/>
      <c r="C21" s="486"/>
      <c r="D21" s="472" t="s">
        <v>356</v>
      </c>
      <c r="E21" s="486"/>
      <c r="F21" s="486"/>
      <c r="G21" s="174"/>
      <c r="H21" s="174"/>
      <c r="I21" s="174"/>
      <c r="J21" s="174"/>
      <c r="K21" s="174"/>
      <c r="L21" s="215"/>
      <c r="M21" s="656" t="str">
        <f>datos!D6</f>
        <v>Instituto Nicaraguense de Energía, INE</v>
      </c>
      <c r="N21" s="656"/>
      <c r="O21" s="656"/>
      <c r="P21" s="656"/>
      <c r="Q21" s="656"/>
      <c r="R21" s="656"/>
      <c r="S21" s="656"/>
      <c r="T21" s="656"/>
      <c r="U21" s="656"/>
      <c r="V21" s="215"/>
      <c r="W21" s="215"/>
    </row>
    <row r="22" spans="1:23" ht="14.4" customHeight="1" x14ac:dyDescent="0.3">
      <c r="C22" s="486"/>
      <c r="D22" s="489" t="s">
        <v>358</v>
      </c>
      <c r="E22" s="486"/>
      <c r="F22" s="486"/>
      <c r="G22" s="174"/>
      <c r="H22" s="174"/>
      <c r="I22" s="174"/>
      <c r="J22" s="174"/>
      <c r="K22" s="174"/>
      <c r="L22" s="471"/>
      <c r="M22" s="656" t="str">
        <f>datos!H5</f>
        <v>Frente al portón Lugo Renta Car, Bolonia</v>
      </c>
      <c r="N22" s="656"/>
      <c r="O22" s="656"/>
      <c r="P22" s="656"/>
      <c r="Q22" s="656"/>
      <c r="R22" s="656"/>
      <c r="S22" s="656"/>
      <c r="T22" s="656"/>
      <c r="U22" s="656"/>
      <c r="V22" s="471"/>
      <c r="W22" s="471"/>
    </row>
    <row r="23" spans="1:23" ht="14.4" customHeight="1" x14ac:dyDescent="0.3">
      <c r="C23" s="486"/>
      <c r="D23" s="472" t="s">
        <v>704</v>
      </c>
      <c r="E23" s="486"/>
      <c r="F23" s="486"/>
      <c r="G23" s="174"/>
      <c r="H23" s="174"/>
      <c r="I23" s="174"/>
      <c r="J23" s="174"/>
      <c r="K23" s="174"/>
      <c r="L23" s="215"/>
      <c r="M23" s="656" t="str">
        <f>datos!H6</f>
        <v>Laboratorio #2 Metrocal</v>
      </c>
      <c r="N23" s="656"/>
      <c r="O23" s="656"/>
      <c r="P23" s="656"/>
      <c r="Q23" s="656"/>
      <c r="R23" s="656"/>
      <c r="S23" s="656"/>
      <c r="T23" s="656"/>
      <c r="U23" s="656"/>
      <c r="V23" s="471"/>
      <c r="W23" s="471"/>
    </row>
    <row r="24" spans="1:23" ht="14.4" customHeight="1" x14ac:dyDescent="0.3">
      <c r="A24" s="472"/>
      <c r="N24" s="471"/>
      <c r="O24" s="471"/>
      <c r="P24" s="471"/>
      <c r="Q24" s="471"/>
      <c r="R24" s="471"/>
      <c r="S24" s="471"/>
      <c r="T24" s="471"/>
      <c r="U24" s="471"/>
      <c r="V24" s="471"/>
      <c r="W24" s="471"/>
    </row>
    <row r="25" spans="1:23" x14ac:dyDescent="0.3">
      <c r="A25" s="472" t="s">
        <v>705</v>
      </c>
      <c r="C25" s="486"/>
      <c r="D25" s="486"/>
      <c r="E25" s="486"/>
      <c r="F25" s="486"/>
    </row>
    <row r="26" spans="1:23" x14ac:dyDescent="0.3">
      <c r="A26" s="215"/>
      <c r="B26" s="215"/>
      <c r="C26" s="215"/>
      <c r="D26" s="497"/>
      <c r="E26" s="497"/>
      <c r="F26" s="497"/>
      <c r="G26" s="497"/>
      <c r="H26" s="497"/>
      <c r="I26" s="497"/>
      <c r="J26" s="497"/>
      <c r="K26" s="497"/>
      <c r="L26" s="497"/>
      <c r="M26" s="497"/>
      <c r="N26" s="497"/>
      <c r="O26" s="497"/>
      <c r="P26" s="497"/>
      <c r="Q26" s="497"/>
      <c r="R26" s="497"/>
      <c r="S26" s="497"/>
      <c r="T26" s="497"/>
      <c r="U26" s="497"/>
      <c r="V26" s="497"/>
    </row>
    <row r="27" spans="1:23" ht="15" customHeight="1" x14ac:dyDescent="0.3">
      <c r="A27" s="215"/>
      <c r="B27" s="498"/>
      <c r="C27" s="498"/>
      <c r="D27" s="672" t="s">
        <v>466</v>
      </c>
      <c r="E27" s="672" t="s">
        <v>469</v>
      </c>
      <c r="F27" s="672"/>
      <c r="G27" s="672" t="s">
        <v>467</v>
      </c>
      <c r="H27" s="672"/>
      <c r="I27" s="673" t="s">
        <v>468</v>
      </c>
      <c r="J27" s="674"/>
      <c r="K27" s="674"/>
      <c r="L27" s="674"/>
      <c r="M27" s="674"/>
      <c r="N27" s="674"/>
      <c r="O27" s="674"/>
      <c r="P27" s="674"/>
      <c r="Q27" s="674"/>
      <c r="R27" s="675"/>
      <c r="S27" s="672" t="s">
        <v>734</v>
      </c>
      <c r="T27" s="672"/>
      <c r="U27" s="672"/>
      <c r="V27" s="672"/>
    </row>
    <row r="28" spans="1:23" ht="14.25" customHeight="1" x14ac:dyDescent="0.3">
      <c r="A28" s="215"/>
      <c r="B28" s="498"/>
      <c r="C28" s="498"/>
      <c r="D28" s="672"/>
      <c r="E28" s="672"/>
      <c r="F28" s="672"/>
      <c r="G28" s="672"/>
      <c r="H28" s="672"/>
      <c r="I28" s="676"/>
      <c r="J28" s="677"/>
      <c r="K28" s="677"/>
      <c r="L28" s="677"/>
      <c r="M28" s="677"/>
      <c r="N28" s="677"/>
      <c r="O28" s="677"/>
      <c r="P28" s="677"/>
      <c r="Q28" s="677"/>
      <c r="R28" s="678"/>
      <c r="S28" s="672"/>
      <c r="T28" s="672"/>
      <c r="U28" s="672"/>
      <c r="V28" s="672"/>
    </row>
    <row r="29" spans="1:23" x14ac:dyDescent="0.3">
      <c r="A29" s="215"/>
      <c r="B29" s="498"/>
      <c r="C29" s="498"/>
      <c r="D29" s="499">
        <f>'Salida de datos'!C8</f>
        <v>1</v>
      </c>
      <c r="E29" s="667" t="str">
        <f>'Salida de datos'!D8</f>
        <v>(N/A)</v>
      </c>
      <c r="F29" s="667"/>
      <c r="G29" s="500">
        <f>'Salida de datos'!E8</f>
        <v>20000</v>
      </c>
      <c r="H29" s="500" t="str">
        <f>'Salida de datos'!F8</f>
        <v>g</v>
      </c>
      <c r="I29" s="806">
        <f>'Salida de datos'!G8</f>
        <v>20000</v>
      </c>
      <c r="J29" s="806"/>
      <c r="K29" s="668" t="str">
        <f>'Salida de datos'!H8</f>
        <v>g</v>
      </c>
      <c r="L29" s="666"/>
      <c r="M29" s="500" t="e">
        <f>'Salida de datos'!I8</f>
        <v>#DIV/0!</v>
      </c>
      <c r="N29" s="669" t="e">
        <f>'Salida de datos'!J8</f>
        <v>#DIV/0!</v>
      </c>
      <c r="O29" s="669"/>
      <c r="P29" s="669"/>
      <c r="Q29" s="669" t="str">
        <f>'Salida de datos'!K8</f>
        <v>mg</v>
      </c>
      <c r="R29" s="669"/>
      <c r="S29" s="669">
        <v>333.3</v>
      </c>
      <c r="T29" s="669"/>
      <c r="U29" s="666" t="str">
        <f>'Salida de datos'!M8</f>
        <v>mg</v>
      </c>
      <c r="V29" s="666"/>
    </row>
    <row r="30" spans="1:23" hidden="1" x14ac:dyDescent="0.3">
      <c r="A30" s="215"/>
      <c r="B30" s="498"/>
      <c r="C30" s="498"/>
      <c r="D30" s="499">
        <f>'Salida de datos'!C9</f>
        <v>2</v>
      </c>
      <c r="E30" s="667">
        <f>'Salida de datos'!D9</f>
        <v>24</v>
      </c>
      <c r="F30" s="667"/>
      <c r="G30" s="500">
        <f>'Salida de datos'!E9</f>
        <v>0</v>
      </c>
      <c r="H30" s="500" t="str">
        <f>'Salida de datos'!F9</f>
        <v>g</v>
      </c>
      <c r="I30" s="668">
        <f>'Salida de datos'!G9</f>
        <v>0</v>
      </c>
      <c r="J30" s="668"/>
      <c r="K30" s="668" t="str">
        <f>'Salida de datos'!H9</f>
        <v>g</v>
      </c>
      <c r="L30" s="666"/>
      <c r="M30" s="500" t="e">
        <f>'Salida de datos'!I9</f>
        <v>#DIV/0!</v>
      </c>
      <c r="N30" s="807" t="e">
        <f>'Salida de datos'!J9</f>
        <v>#DIV/0!</v>
      </c>
      <c r="O30" s="807"/>
      <c r="P30" s="807"/>
      <c r="Q30" s="669" t="str">
        <f>'Salida de datos'!K9</f>
        <v>mg</v>
      </c>
      <c r="R30" s="669"/>
      <c r="S30" s="669" t="e">
        <f>'Salida de datos'!L9</f>
        <v>#DIV/0!</v>
      </c>
      <c r="T30" s="669"/>
      <c r="U30" s="666" t="str">
        <f>'Salida de datos'!M9</f>
        <v>mg</v>
      </c>
      <c r="V30" s="666"/>
    </row>
    <row r="31" spans="1:23" x14ac:dyDescent="0.3">
      <c r="A31" s="215"/>
      <c r="B31" s="215"/>
      <c r="C31" s="215"/>
      <c r="D31" s="490"/>
      <c r="U31" s="490"/>
      <c r="V31" s="490"/>
    </row>
    <row r="32" spans="1:23" x14ac:dyDescent="0.3">
      <c r="A32" s="472" t="s">
        <v>715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472" t="s">
        <v>716</v>
      </c>
      <c r="P32" s="215"/>
      <c r="Q32" s="215"/>
      <c r="R32" s="215"/>
      <c r="S32" s="215"/>
      <c r="T32" s="215"/>
      <c r="U32" s="215"/>
      <c r="V32" s="215"/>
      <c r="W32" s="215"/>
    </row>
    <row r="33" spans="1:24" x14ac:dyDescent="0.3">
      <c r="A33" s="475"/>
      <c r="B33" s="657" t="s">
        <v>717</v>
      </c>
      <c r="C33" s="657"/>
      <c r="D33" s="657"/>
      <c r="E33" s="491">
        <f>AVERAGE(datos!H26:I26)</f>
        <v>20.5</v>
      </c>
      <c r="F33" s="480" t="s">
        <v>718</v>
      </c>
      <c r="G33" s="492">
        <v>0.5</v>
      </c>
      <c r="H33" s="475" t="s">
        <v>7</v>
      </c>
      <c r="I33" s="215"/>
      <c r="J33" s="215"/>
      <c r="K33" s="656"/>
      <c r="L33" s="656"/>
      <c r="M33" s="215"/>
      <c r="N33" s="215"/>
      <c r="O33" s="657" t="s">
        <v>719</v>
      </c>
      <c r="P33" s="657"/>
      <c r="Q33" s="657"/>
      <c r="R33" s="215">
        <f>AVERAGE(datos!H28:I28)</f>
        <v>1001</v>
      </c>
      <c r="S33" s="480" t="s">
        <v>720</v>
      </c>
      <c r="T33" s="480" t="s">
        <v>120</v>
      </c>
      <c r="U33" s="491">
        <v>1.5</v>
      </c>
      <c r="V33" s="215" t="s">
        <v>720</v>
      </c>
      <c r="W33" s="215"/>
    </row>
    <row r="34" spans="1:24" x14ac:dyDescent="0.3">
      <c r="A34" s="657" t="s">
        <v>721</v>
      </c>
      <c r="B34" s="657"/>
      <c r="C34" s="657"/>
      <c r="D34" s="657"/>
      <c r="E34" s="491">
        <f>AVERAGE(datos!H27:I27)</f>
        <v>48.650000000000006</v>
      </c>
      <c r="F34" s="480" t="s">
        <v>722</v>
      </c>
      <c r="G34" s="492">
        <v>3.6</v>
      </c>
      <c r="H34" s="655" t="s">
        <v>723</v>
      </c>
      <c r="I34" s="655"/>
      <c r="J34" s="215"/>
      <c r="K34" s="215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</row>
    <row r="35" spans="1:24" x14ac:dyDescent="0.3">
      <c r="A35" s="475"/>
      <c r="B35" s="475"/>
      <c r="C35" s="475"/>
      <c r="D35" s="475"/>
      <c r="E35" s="491"/>
      <c r="F35" s="480"/>
      <c r="G35" s="492"/>
      <c r="H35" s="480"/>
      <c r="I35" s="215"/>
      <c r="J35" s="215"/>
      <c r="K35" s="215"/>
      <c r="Q35" s="215"/>
      <c r="R35" s="215"/>
      <c r="U35" s="215"/>
      <c r="V35" s="215"/>
      <c r="W35" s="215"/>
    </row>
    <row r="36" spans="1:24" x14ac:dyDescent="0.3">
      <c r="A36" s="472" t="s">
        <v>706</v>
      </c>
      <c r="B36" s="215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5"/>
      <c r="O36" s="215"/>
      <c r="P36" s="215"/>
      <c r="Q36" s="215"/>
      <c r="V36" s="215"/>
    </row>
    <row r="37" spans="1:24" ht="15" customHeight="1" x14ac:dyDescent="0.3">
      <c r="A37" s="493" t="s">
        <v>724</v>
      </c>
      <c r="B37" s="473"/>
      <c r="C37" s="473"/>
      <c r="D37" s="49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</row>
    <row r="38" spans="1:24" ht="15" customHeight="1" x14ac:dyDescent="0.3">
      <c r="A38" s="493"/>
      <c r="B38" s="473"/>
      <c r="C38" s="473"/>
      <c r="D38" s="49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</row>
    <row r="39" spans="1:24" ht="15" customHeight="1" x14ac:dyDescent="0.3">
      <c r="A39" s="472" t="s">
        <v>707</v>
      </c>
      <c r="B39" s="473"/>
      <c r="C39" s="473"/>
      <c r="D39" s="473"/>
      <c r="E39" s="473"/>
      <c r="F39" s="473"/>
      <c r="G39" s="473"/>
      <c r="H39" s="473"/>
      <c r="I39" s="473"/>
      <c r="J39" s="473"/>
      <c r="K39" s="473"/>
      <c r="L39" s="473"/>
      <c r="M39" s="473"/>
      <c r="N39" s="473"/>
      <c r="O39" s="473"/>
      <c r="P39" s="473"/>
      <c r="Q39" s="473"/>
      <c r="R39" s="473"/>
      <c r="S39" s="473"/>
      <c r="T39" s="473"/>
      <c r="U39" s="473"/>
      <c r="V39" s="473"/>
      <c r="W39" s="473"/>
    </row>
    <row r="40" spans="1:24" ht="15" customHeight="1" x14ac:dyDescent="0.3">
      <c r="A40" s="658" t="s">
        <v>725</v>
      </c>
      <c r="B40" s="658"/>
      <c r="C40" s="658"/>
      <c r="D40" s="658"/>
      <c r="E40" s="658"/>
      <c r="F40" s="658"/>
      <c r="G40" s="658"/>
      <c r="H40" s="658"/>
      <c r="I40" s="658"/>
      <c r="J40" s="658"/>
      <c r="K40" s="658"/>
      <c r="L40" s="658"/>
      <c r="M40" s="658"/>
      <c r="N40" s="658"/>
      <c r="O40" s="658"/>
      <c r="P40" s="658"/>
      <c r="Q40" s="658"/>
      <c r="R40" s="658"/>
      <c r="S40" s="658"/>
      <c r="T40" s="658"/>
      <c r="U40" s="658"/>
      <c r="V40" s="658"/>
      <c r="W40" s="658"/>
    </row>
    <row r="41" spans="1:24" ht="15" customHeight="1" x14ac:dyDescent="0.3">
      <c r="A41" s="658"/>
      <c r="B41" s="658"/>
      <c r="C41" s="658"/>
      <c r="D41" s="658"/>
      <c r="E41" s="658"/>
      <c r="F41" s="658"/>
      <c r="G41" s="658"/>
      <c r="H41" s="658"/>
      <c r="I41" s="658"/>
      <c r="J41" s="658"/>
      <c r="K41" s="658"/>
      <c r="L41" s="658"/>
      <c r="M41" s="658"/>
      <c r="N41" s="658"/>
      <c r="O41" s="658"/>
      <c r="P41" s="658"/>
      <c r="Q41" s="658"/>
      <c r="R41" s="658"/>
      <c r="S41" s="658"/>
      <c r="T41" s="658"/>
      <c r="U41" s="658"/>
      <c r="V41" s="658"/>
      <c r="W41" s="658"/>
    </row>
    <row r="42" spans="1:24" x14ac:dyDescent="0.3">
      <c r="A42" s="658"/>
      <c r="B42" s="658"/>
      <c r="C42" s="658"/>
      <c r="D42" s="658"/>
      <c r="E42" s="658"/>
      <c r="F42" s="658"/>
      <c r="G42" s="658"/>
      <c r="H42" s="658"/>
      <c r="I42" s="658"/>
      <c r="J42" s="658"/>
      <c r="K42" s="658"/>
      <c r="L42" s="658"/>
      <c r="M42" s="658"/>
      <c r="N42" s="658"/>
      <c r="O42" s="658"/>
      <c r="P42" s="658"/>
      <c r="Q42" s="658"/>
      <c r="R42" s="658"/>
      <c r="S42" s="658"/>
      <c r="T42" s="658"/>
      <c r="U42" s="658"/>
      <c r="V42" s="658"/>
      <c r="W42" s="658"/>
    </row>
    <row r="43" spans="1:24" x14ac:dyDescent="0.3">
      <c r="A43" s="658"/>
      <c r="B43" s="658"/>
      <c r="C43" s="658"/>
      <c r="D43" s="658"/>
      <c r="E43" s="658"/>
      <c r="F43" s="658"/>
      <c r="G43" s="658"/>
      <c r="H43" s="658"/>
      <c r="I43" s="658"/>
      <c r="J43" s="658"/>
      <c r="K43" s="658"/>
      <c r="L43" s="658"/>
      <c r="M43" s="658"/>
      <c r="N43" s="658"/>
      <c r="O43" s="658"/>
      <c r="P43" s="658"/>
      <c r="Q43" s="658"/>
      <c r="R43" s="658"/>
      <c r="S43" s="658"/>
      <c r="T43" s="658"/>
      <c r="U43" s="658"/>
      <c r="V43" s="658"/>
      <c r="W43" s="658"/>
    </row>
    <row r="44" spans="1:24" x14ac:dyDescent="0.3">
      <c r="A44" s="658"/>
      <c r="B44" s="658"/>
      <c r="C44" s="658"/>
      <c r="D44" s="658"/>
      <c r="E44" s="658"/>
      <c r="F44" s="658"/>
      <c r="G44" s="658"/>
      <c r="H44" s="658"/>
      <c r="I44" s="658"/>
      <c r="J44" s="658"/>
      <c r="K44" s="658"/>
      <c r="L44" s="658"/>
      <c r="M44" s="658"/>
      <c r="N44" s="658"/>
      <c r="O44" s="658"/>
      <c r="P44" s="658"/>
      <c r="Q44" s="658"/>
      <c r="R44" s="658"/>
      <c r="S44" s="658"/>
      <c r="T44" s="658"/>
      <c r="U44" s="658"/>
      <c r="V44" s="658"/>
      <c r="W44" s="658"/>
    </row>
    <row r="45" spans="1:24" x14ac:dyDescent="0.3">
      <c r="A45" s="472" t="s">
        <v>708</v>
      </c>
      <c r="B45" s="215"/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/>
      <c r="S45" s="215"/>
      <c r="T45" s="215"/>
      <c r="U45" s="215"/>
      <c r="V45" s="215"/>
    </row>
    <row r="46" spans="1:24" x14ac:dyDescent="0.3">
      <c r="A46" s="473"/>
      <c r="B46" s="473"/>
      <c r="C46" s="473"/>
      <c r="D46" s="473"/>
      <c r="E46" s="473"/>
      <c r="F46" s="473"/>
      <c r="G46" s="473"/>
      <c r="H46" s="473"/>
      <c r="I46" s="473"/>
      <c r="J46" s="473"/>
      <c r="K46" s="473"/>
      <c r="L46" s="473"/>
      <c r="M46" s="473"/>
      <c r="N46" s="473"/>
      <c r="O46" s="473"/>
      <c r="P46" s="473"/>
      <c r="Q46" s="473"/>
      <c r="R46" s="473"/>
      <c r="S46" s="473"/>
      <c r="T46" s="473"/>
      <c r="U46" s="473"/>
      <c r="V46" s="473"/>
      <c r="W46" s="473"/>
    </row>
    <row r="47" spans="1:24" x14ac:dyDescent="0.3">
      <c r="A47" s="660" t="s">
        <v>726</v>
      </c>
      <c r="B47" s="660"/>
      <c r="C47" s="660"/>
      <c r="D47" s="660"/>
      <c r="E47" s="660" t="s">
        <v>1</v>
      </c>
      <c r="F47" s="660"/>
      <c r="G47" s="660"/>
      <c r="H47" s="660"/>
      <c r="I47" s="660"/>
      <c r="J47" s="660"/>
      <c r="K47" s="661" t="s">
        <v>15</v>
      </c>
      <c r="L47" s="661"/>
      <c r="M47" s="661"/>
      <c r="N47" s="661"/>
      <c r="O47" s="661"/>
      <c r="P47" s="661"/>
      <c r="Q47" s="660" t="s">
        <v>727</v>
      </c>
      <c r="R47" s="660"/>
      <c r="S47" s="660"/>
      <c r="T47" s="660"/>
      <c r="U47" s="661" t="s">
        <v>728</v>
      </c>
      <c r="V47" s="661"/>
      <c r="W47" s="661"/>
      <c r="X47" s="661"/>
    </row>
    <row r="48" spans="1:24" x14ac:dyDescent="0.3">
      <c r="A48" s="654" t="s">
        <v>796</v>
      </c>
      <c r="B48" s="654"/>
      <c r="C48" s="654"/>
      <c r="D48" s="654"/>
      <c r="E48" s="654" t="s">
        <v>797</v>
      </c>
      <c r="F48" s="654"/>
      <c r="G48" s="654"/>
      <c r="H48" s="654"/>
      <c r="I48" s="654"/>
      <c r="J48" s="654"/>
      <c r="K48" s="654" t="s">
        <v>805</v>
      </c>
      <c r="L48" s="654"/>
      <c r="M48" s="654"/>
      <c r="N48" s="654"/>
      <c r="O48" s="654"/>
      <c r="P48" s="654"/>
      <c r="Q48" s="654" t="s">
        <v>804</v>
      </c>
      <c r="R48" s="654"/>
      <c r="S48" s="654"/>
      <c r="T48" s="654"/>
      <c r="U48" s="659">
        <v>44696</v>
      </c>
      <c r="V48" s="659"/>
      <c r="W48" s="659"/>
      <c r="X48" s="659"/>
    </row>
    <row r="49" spans="1:24" x14ac:dyDescent="0.3">
      <c r="A49" s="654" t="s">
        <v>791</v>
      </c>
      <c r="B49" s="654"/>
      <c r="C49" s="654"/>
      <c r="D49" s="654"/>
      <c r="E49" s="654" t="s">
        <v>738</v>
      </c>
      <c r="F49" s="654"/>
      <c r="G49" s="654"/>
      <c r="H49" s="654"/>
      <c r="I49" s="654"/>
      <c r="J49" s="654"/>
      <c r="K49" s="654" t="s">
        <v>795</v>
      </c>
      <c r="L49" s="654"/>
      <c r="M49" s="654"/>
      <c r="N49" s="654"/>
      <c r="O49" s="654"/>
      <c r="P49" s="654"/>
      <c r="Q49" s="654" t="s">
        <v>793</v>
      </c>
      <c r="R49" s="654"/>
      <c r="S49" s="654"/>
      <c r="T49" s="654"/>
      <c r="U49" s="659">
        <v>44696</v>
      </c>
      <c r="V49" s="659"/>
      <c r="W49" s="659"/>
      <c r="X49" s="659"/>
    </row>
    <row r="50" spans="1:24" x14ac:dyDescent="0.3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</row>
    <row r="51" spans="1:24" x14ac:dyDescent="0.3">
      <c r="A51" s="476"/>
      <c r="B51" s="476"/>
      <c r="C51" s="476"/>
      <c r="D51" s="476"/>
      <c r="E51" s="476"/>
      <c r="F51" s="476"/>
      <c r="G51" s="476"/>
      <c r="H51" s="476"/>
      <c r="I51" s="476"/>
      <c r="J51" s="476"/>
      <c r="K51" s="476"/>
      <c r="L51" s="476"/>
      <c r="M51" s="476"/>
      <c r="N51" s="476"/>
      <c r="O51" s="476"/>
      <c r="P51" s="476"/>
      <c r="Q51" s="476"/>
      <c r="R51" s="476"/>
      <c r="S51" s="476"/>
      <c r="T51" s="476"/>
      <c r="U51" s="476"/>
      <c r="V51" s="476"/>
      <c r="W51" s="476"/>
    </row>
    <row r="52" spans="1:24" x14ac:dyDescent="0.3">
      <c r="A52" s="475"/>
      <c r="B52" s="475"/>
      <c r="C52" s="475"/>
      <c r="D52" s="475"/>
      <c r="E52" s="491"/>
      <c r="F52" s="480"/>
      <c r="G52" s="492"/>
      <c r="H52" s="480"/>
      <c r="I52" s="215"/>
      <c r="J52" s="215"/>
      <c r="K52" s="215"/>
      <c r="L52" s="215"/>
      <c r="M52" s="215"/>
      <c r="N52" s="215"/>
      <c r="O52" s="215"/>
      <c r="P52" s="215"/>
      <c r="Q52" s="215"/>
      <c r="R52" s="215"/>
      <c r="S52" s="215"/>
      <c r="T52" s="215"/>
      <c r="U52" s="215"/>
      <c r="V52" s="215"/>
      <c r="W52" s="215"/>
    </row>
    <row r="53" spans="1:24" x14ac:dyDescent="0.3">
      <c r="A53" s="475"/>
      <c r="B53" s="475"/>
      <c r="C53" s="475"/>
      <c r="D53" s="475"/>
      <c r="E53" s="491"/>
      <c r="F53" s="480"/>
      <c r="G53" s="492"/>
      <c r="H53" s="480"/>
      <c r="I53" s="215"/>
      <c r="J53" s="215"/>
      <c r="K53" s="215"/>
      <c r="L53" s="215"/>
      <c r="M53" s="215"/>
      <c r="N53" s="215"/>
      <c r="O53" s="215"/>
      <c r="P53" s="215"/>
      <c r="Q53" s="215"/>
      <c r="R53" s="215"/>
      <c r="S53" s="215"/>
      <c r="T53" s="215"/>
      <c r="U53" s="215"/>
      <c r="V53" s="215"/>
      <c r="W53" s="215"/>
    </row>
    <row r="54" spans="1:24" x14ac:dyDescent="0.3">
      <c r="A54" s="475"/>
      <c r="B54" s="475"/>
      <c r="C54" s="475"/>
      <c r="D54" s="475"/>
      <c r="E54" s="491"/>
      <c r="F54" s="480"/>
      <c r="G54" s="492"/>
      <c r="H54" s="480"/>
      <c r="I54" s="215"/>
      <c r="J54" s="215"/>
      <c r="K54" s="215"/>
      <c r="L54" s="215"/>
      <c r="M54" s="215"/>
      <c r="N54" s="215"/>
      <c r="O54" s="215"/>
      <c r="P54" s="215"/>
      <c r="Q54" s="215"/>
      <c r="R54" s="215"/>
      <c r="S54" s="215"/>
      <c r="T54" s="215"/>
      <c r="U54" s="215"/>
      <c r="V54" s="215"/>
      <c r="W54" s="215"/>
    </row>
    <row r="55" spans="1:24" x14ac:dyDescent="0.3">
      <c r="A55" s="475"/>
      <c r="B55" s="475"/>
      <c r="C55" s="475"/>
      <c r="D55" s="475"/>
      <c r="E55" s="491"/>
      <c r="F55" s="480"/>
      <c r="G55" s="492"/>
      <c r="H55" s="480"/>
      <c r="I55" s="215"/>
      <c r="J55" s="215"/>
      <c r="K55" s="215"/>
      <c r="L55" s="215"/>
      <c r="M55" s="215"/>
      <c r="N55" s="215"/>
      <c r="O55" s="215"/>
      <c r="P55" s="215"/>
      <c r="Q55" s="215"/>
      <c r="R55" s="215"/>
      <c r="S55" s="215"/>
      <c r="T55" s="215"/>
      <c r="U55" s="215"/>
      <c r="V55" s="215"/>
      <c r="W55" s="215"/>
    </row>
    <row r="56" spans="1:24" x14ac:dyDescent="0.3">
      <c r="A56" s="475"/>
      <c r="B56" s="475"/>
      <c r="C56" s="475"/>
      <c r="D56" s="475"/>
      <c r="E56" s="491"/>
      <c r="F56" s="480"/>
      <c r="G56" s="492"/>
      <c r="H56" s="480"/>
      <c r="I56" s="215"/>
      <c r="J56" s="215"/>
      <c r="K56" s="215"/>
      <c r="L56" s="215"/>
      <c r="M56" s="215"/>
      <c r="N56" s="215"/>
      <c r="O56" s="215"/>
      <c r="P56" s="215"/>
      <c r="Q56" s="215"/>
      <c r="R56" s="215"/>
      <c r="S56" s="215"/>
      <c r="T56" s="215"/>
      <c r="U56" s="215"/>
      <c r="V56" s="215"/>
      <c r="W56" s="215"/>
    </row>
    <row r="57" spans="1:24" x14ac:dyDescent="0.3">
      <c r="A57" s="475"/>
      <c r="B57" s="475"/>
      <c r="C57" s="475"/>
      <c r="D57" s="475"/>
      <c r="E57" s="491"/>
      <c r="F57" s="480"/>
      <c r="G57" s="492"/>
      <c r="H57" s="480"/>
      <c r="I57" s="215"/>
      <c r="J57" s="215"/>
      <c r="K57" s="215"/>
      <c r="L57" s="215"/>
      <c r="M57" s="215"/>
      <c r="N57" s="215"/>
      <c r="O57" s="215"/>
      <c r="P57" s="215"/>
      <c r="Q57" s="215"/>
      <c r="R57" s="215"/>
      <c r="S57" s="215"/>
      <c r="T57" s="215"/>
      <c r="U57" s="215"/>
      <c r="V57" s="215"/>
      <c r="W57" s="215"/>
    </row>
    <row r="58" spans="1:24" x14ac:dyDescent="0.3">
      <c r="A58" s="475"/>
      <c r="B58" s="475"/>
      <c r="C58" s="475"/>
      <c r="D58" s="475"/>
      <c r="E58" s="491"/>
      <c r="F58" s="480"/>
      <c r="G58" s="492"/>
      <c r="H58" s="480"/>
      <c r="I58" s="215"/>
      <c r="J58" s="215"/>
      <c r="K58" s="215"/>
      <c r="L58" s="215"/>
      <c r="M58" s="215"/>
      <c r="N58" s="215"/>
      <c r="O58" s="215"/>
      <c r="P58" s="215"/>
      <c r="Q58" s="215"/>
      <c r="R58" s="215"/>
      <c r="S58" s="215"/>
      <c r="T58" s="215"/>
      <c r="U58" s="215"/>
      <c r="V58" s="215"/>
      <c r="W58" s="215"/>
    </row>
    <row r="59" spans="1:24" x14ac:dyDescent="0.3">
      <c r="A59" s="475"/>
      <c r="B59" s="475"/>
      <c r="C59" s="475"/>
      <c r="D59" s="475"/>
      <c r="E59" s="491"/>
      <c r="F59" s="480"/>
      <c r="G59" s="492"/>
      <c r="H59" s="480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</row>
    <row r="60" spans="1:24" x14ac:dyDescent="0.3">
      <c r="A60" s="472" t="s">
        <v>352</v>
      </c>
      <c r="B60" s="215"/>
      <c r="C60" s="486"/>
      <c r="D60" s="487"/>
      <c r="E60" s="487"/>
      <c r="F60" s="487"/>
      <c r="G60" s="215"/>
      <c r="H60" s="215"/>
      <c r="I60" s="215"/>
      <c r="J60" s="215"/>
      <c r="K60" s="215"/>
      <c r="L60" s="215"/>
      <c r="M60" s="215"/>
      <c r="N60" s="662" t="str">
        <f>M10</f>
        <v>NI-MC-M-2056-2024</v>
      </c>
      <c r="O60" s="662"/>
      <c r="P60" s="662"/>
      <c r="Q60" s="662"/>
      <c r="R60" s="662"/>
      <c r="S60" s="662"/>
      <c r="T60" s="662"/>
      <c r="U60" s="662"/>
      <c r="V60" s="662"/>
      <c r="W60" s="662"/>
    </row>
    <row r="61" spans="1:24" x14ac:dyDescent="0.3">
      <c r="A61" s="472"/>
      <c r="B61" s="215"/>
      <c r="C61" s="486"/>
      <c r="D61" s="487"/>
      <c r="E61" s="487"/>
      <c r="F61" s="487"/>
      <c r="G61" s="215"/>
      <c r="H61" s="215"/>
      <c r="I61" s="215"/>
      <c r="J61" s="215"/>
      <c r="K61" s="215"/>
      <c r="L61" s="215"/>
      <c r="M61" s="215"/>
      <c r="N61" s="494"/>
      <c r="O61" s="494"/>
      <c r="P61" s="494"/>
      <c r="Q61" s="494"/>
      <c r="R61" s="494"/>
      <c r="S61" s="494"/>
      <c r="T61" s="494"/>
      <c r="U61" s="494"/>
      <c r="V61" s="494"/>
      <c r="W61" s="494"/>
    </row>
    <row r="62" spans="1:24" ht="15" customHeight="1" x14ac:dyDescent="0.3">
      <c r="A62" s="472" t="s">
        <v>709</v>
      </c>
      <c r="B62" s="215"/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  <c r="O62" s="215"/>
      <c r="P62" s="215"/>
      <c r="Q62" s="215"/>
      <c r="R62" s="215"/>
      <c r="S62" s="215"/>
      <c r="T62" s="215"/>
      <c r="U62" s="215"/>
      <c r="V62" s="215"/>
    </row>
    <row r="63" spans="1:24" x14ac:dyDescent="0.3">
      <c r="A63" s="495" t="s">
        <v>710</v>
      </c>
      <c r="B63" s="215"/>
      <c r="C63" s="473"/>
      <c r="D63" s="473"/>
      <c r="E63" s="473"/>
      <c r="F63" s="473"/>
      <c r="G63" s="473"/>
      <c r="H63" s="473"/>
      <c r="I63" s="473"/>
      <c r="J63" s="473"/>
      <c r="K63" s="473"/>
      <c r="L63" s="473"/>
      <c r="M63" s="473"/>
      <c r="N63" s="473"/>
      <c r="O63" s="473"/>
      <c r="P63" s="473"/>
      <c r="Q63" s="473"/>
      <c r="R63" s="473"/>
      <c r="S63" s="473"/>
      <c r="T63" s="473"/>
      <c r="U63" s="473"/>
      <c r="V63" s="473"/>
      <c r="W63" s="215"/>
    </row>
    <row r="64" spans="1:24" x14ac:dyDescent="0.3">
      <c r="A64" s="495" t="s">
        <v>729</v>
      </c>
      <c r="B64" s="215"/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/>
      <c r="V64" s="215"/>
      <c r="W64" s="215"/>
    </row>
    <row r="65" spans="1:24" ht="15" customHeight="1" x14ac:dyDescent="0.3">
      <c r="A65" s="495" t="s">
        <v>730</v>
      </c>
      <c r="B65" s="215"/>
      <c r="C65" s="215"/>
      <c r="D65" s="215"/>
      <c r="E65" s="215"/>
      <c r="F65" s="215"/>
      <c r="G65" s="215"/>
      <c r="H65" s="215"/>
      <c r="I65" s="215"/>
      <c r="J65" s="215"/>
      <c r="K65" s="215"/>
      <c r="L65" s="215"/>
      <c r="M65" s="215"/>
      <c r="N65" s="215"/>
      <c r="O65" s="215"/>
      <c r="P65" s="215"/>
      <c r="Q65" s="215"/>
      <c r="R65" s="215"/>
      <c r="S65" s="215"/>
      <c r="T65" s="215"/>
      <c r="U65" s="215"/>
      <c r="V65" s="215"/>
      <c r="W65" s="215"/>
    </row>
    <row r="66" spans="1:24" x14ac:dyDescent="0.3">
      <c r="A66" s="215" t="s">
        <v>731</v>
      </c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  <c r="Q66" s="215"/>
      <c r="R66" s="473"/>
      <c r="S66" s="473"/>
      <c r="T66" s="215"/>
      <c r="U66" s="215"/>
      <c r="V66" s="215"/>
      <c r="W66" s="215"/>
    </row>
    <row r="67" spans="1:24" x14ac:dyDescent="0.3">
      <c r="A67" s="215" t="s">
        <v>732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496"/>
      <c r="S67" s="496"/>
      <c r="T67" s="496"/>
      <c r="U67" s="496"/>
      <c r="V67" s="496"/>
    </row>
    <row r="68" spans="1:24" x14ac:dyDescent="0.3">
      <c r="A68" s="215"/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496"/>
      <c r="S68" s="496"/>
      <c r="T68" s="496"/>
      <c r="U68" s="496"/>
      <c r="V68" s="496"/>
    </row>
    <row r="69" spans="1:24" x14ac:dyDescent="0.3">
      <c r="A69" s="215"/>
      <c r="B69" s="215"/>
      <c r="C69" s="215"/>
      <c r="D69" s="215"/>
      <c r="E69" s="215"/>
      <c r="F69" s="215"/>
      <c r="G69" s="215"/>
      <c r="H69" s="215"/>
      <c r="I69" s="215"/>
      <c r="J69" s="215"/>
      <c r="K69" s="215"/>
      <c r="L69" s="215"/>
      <c r="M69" s="215"/>
      <c r="N69" s="215"/>
      <c r="O69" s="215"/>
      <c r="P69" s="215"/>
      <c r="Q69" s="215"/>
      <c r="R69" s="496"/>
      <c r="S69" s="496"/>
      <c r="T69" s="496"/>
      <c r="U69" s="496"/>
      <c r="V69" s="496"/>
    </row>
    <row r="70" spans="1:24" x14ac:dyDescent="0.3">
      <c r="A70" s="215"/>
      <c r="B70" s="215"/>
      <c r="C70" s="215"/>
      <c r="D70" s="215"/>
      <c r="E70" s="215"/>
      <c r="F70" s="215"/>
      <c r="G70" s="215"/>
      <c r="H70" s="215"/>
      <c r="I70" s="215"/>
      <c r="J70" s="215"/>
      <c r="K70" s="215"/>
      <c r="L70" s="215"/>
      <c r="M70" s="215"/>
      <c r="N70" s="215"/>
      <c r="O70" s="215"/>
      <c r="P70" s="215"/>
      <c r="Q70" s="215"/>
      <c r="R70" s="496"/>
      <c r="S70" s="496"/>
      <c r="T70" s="496"/>
      <c r="U70" s="496"/>
      <c r="V70" s="496"/>
    </row>
    <row r="71" spans="1:24" x14ac:dyDescent="0.3">
      <c r="A71" s="215"/>
      <c r="B71" s="215"/>
      <c r="C71" s="215"/>
      <c r="D71" s="215"/>
      <c r="E71" s="215"/>
      <c r="F71" s="215"/>
      <c r="G71" s="215"/>
      <c r="H71" s="215"/>
      <c r="I71" s="215"/>
      <c r="J71" s="215"/>
      <c r="K71" s="215"/>
      <c r="L71" s="215"/>
      <c r="M71" s="215"/>
      <c r="N71" s="215"/>
      <c r="O71" s="215"/>
      <c r="P71" s="215"/>
      <c r="Q71" s="215"/>
      <c r="R71" s="496"/>
      <c r="S71" s="496"/>
      <c r="T71" s="496"/>
      <c r="U71" s="496"/>
      <c r="V71" s="496"/>
    </row>
    <row r="72" spans="1:24" x14ac:dyDescent="0.3">
      <c r="A72" s="215"/>
      <c r="B72" s="215"/>
      <c r="C72" s="215"/>
      <c r="D72" s="215"/>
      <c r="E72" s="215"/>
      <c r="F72" s="215"/>
      <c r="G72" s="215"/>
      <c r="H72" s="215"/>
      <c r="I72" s="215"/>
      <c r="J72" s="215"/>
      <c r="K72" s="215"/>
      <c r="L72" s="215"/>
      <c r="M72" s="215"/>
      <c r="N72" s="215"/>
      <c r="O72" s="215"/>
      <c r="P72" s="215"/>
      <c r="Q72" s="215"/>
      <c r="R72" s="496"/>
      <c r="S72" s="496"/>
      <c r="T72" s="496"/>
      <c r="U72" s="496"/>
      <c r="V72" s="496"/>
    </row>
    <row r="73" spans="1:24" x14ac:dyDescent="0.3">
      <c r="A73" s="215"/>
      <c r="B73" s="215"/>
      <c r="C73" s="215"/>
      <c r="D73" s="215"/>
      <c r="E73" s="215"/>
      <c r="F73" s="215"/>
      <c r="G73" s="215"/>
      <c r="H73" s="215"/>
      <c r="I73" s="215"/>
      <c r="J73" s="215"/>
      <c r="K73" s="215"/>
      <c r="L73" s="215"/>
      <c r="M73" s="215"/>
      <c r="N73" s="215"/>
      <c r="O73" s="215"/>
      <c r="P73" s="215"/>
      <c r="Q73" s="215"/>
      <c r="R73" s="496"/>
      <c r="S73" s="496"/>
      <c r="T73" s="496"/>
      <c r="U73" s="496"/>
      <c r="V73" s="496"/>
    </row>
    <row r="74" spans="1:24" x14ac:dyDescent="0.3">
      <c r="X74" s="215"/>
    </row>
    <row r="75" spans="1:24" x14ac:dyDescent="0.3">
      <c r="X75" s="215"/>
    </row>
    <row r="78" spans="1:24" x14ac:dyDescent="0.3">
      <c r="I78" s="663" t="s">
        <v>544</v>
      </c>
      <c r="J78" s="663"/>
      <c r="K78" s="663"/>
      <c r="L78" s="663"/>
      <c r="M78" s="663"/>
      <c r="N78" s="663"/>
      <c r="O78" s="663"/>
      <c r="P78" s="663"/>
    </row>
    <row r="79" spans="1:24" x14ac:dyDescent="0.3">
      <c r="I79" s="664" t="str">
        <f>IF($I$78=[3]Generales!F1,[3]Generales!F6,[3]Generales!F5)</f>
        <v>Director Técnico</v>
      </c>
      <c r="J79" s="664"/>
      <c r="K79" s="664"/>
      <c r="L79" s="664"/>
      <c r="M79" s="664"/>
      <c r="N79" s="664"/>
      <c r="O79" s="664"/>
      <c r="P79" s="664"/>
    </row>
    <row r="80" spans="1:24" x14ac:dyDescent="0.3">
      <c r="I80" s="665" t="s">
        <v>711</v>
      </c>
      <c r="J80" s="665"/>
      <c r="K80" s="665"/>
      <c r="L80" s="665"/>
      <c r="M80" s="665"/>
      <c r="N80" s="665"/>
      <c r="O80" s="665"/>
      <c r="P80" s="665"/>
    </row>
    <row r="82" spans="9:16" x14ac:dyDescent="0.3">
      <c r="I82" s="655" t="s">
        <v>733</v>
      </c>
      <c r="J82" s="655"/>
      <c r="K82" s="655"/>
      <c r="L82" s="655"/>
      <c r="M82" s="655"/>
      <c r="N82" s="655"/>
      <c r="O82" s="655"/>
      <c r="P82" s="655"/>
    </row>
  </sheetData>
  <mergeCells count="59">
    <mergeCell ref="I82:P82"/>
    <mergeCell ref="E27:F28"/>
    <mergeCell ref="G27:H28"/>
    <mergeCell ref="E29:F29"/>
    <mergeCell ref="I79:P79"/>
    <mergeCell ref="I80:P80"/>
    <mergeCell ref="I78:P78"/>
    <mergeCell ref="N60:W60"/>
    <mergeCell ref="U47:X47"/>
    <mergeCell ref="U49:X49"/>
    <mergeCell ref="U48:X48"/>
    <mergeCell ref="U29:V29"/>
    <mergeCell ref="U30:V30"/>
    <mergeCell ref="S29:T29"/>
    <mergeCell ref="S30:T30"/>
    <mergeCell ref="B33:D33"/>
    <mergeCell ref="K33:L33"/>
    <mergeCell ref="E30:F30"/>
    <mergeCell ref="O33:Q33"/>
    <mergeCell ref="I29:J29"/>
    <mergeCell ref="I30:J30"/>
    <mergeCell ref="K29:L29"/>
    <mergeCell ref="K30:L30"/>
    <mergeCell ref="Q29:R29"/>
    <mergeCell ref="Q30:R30"/>
    <mergeCell ref="N30:P30"/>
    <mergeCell ref="N29:P29"/>
    <mergeCell ref="A34:D34"/>
    <mergeCell ref="Q48:T48"/>
    <mergeCell ref="A49:D49"/>
    <mergeCell ref="E49:J49"/>
    <mergeCell ref="K49:P49"/>
    <mergeCell ref="Q49:T49"/>
    <mergeCell ref="A48:D48"/>
    <mergeCell ref="E48:J48"/>
    <mergeCell ref="K48:P48"/>
    <mergeCell ref="H34:I34"/>
    <mergeCell ref="A40:W44"/>
    <mergeCell ref="A47:D47"/>
    <mergeCell ref="E47:J47"/>
    <mergeCell ref="K47:P47"/>
    <mergeCell ref="Q47:T47"/>
    <mergeCell ref="M15:U15"/>
    <mergeCell ref="M16:U16"/>
    <mergeCell ref="M17:U17"/>
    <mergeCell ref="D27:D28"/>
    <mergeCell ref="S27:V28"/>
    <mergeCell ref="I27:R28"/>
    <mergeCell ref="M23:U23"/>
    <mergeCell ref="M19:O19"/>
    <mergeCell ref="M18:U18"/>
    <mergeCell ref="M20:U20"/>
    <mergeCell ref="M21:U21"/>
    <mergeCell ref="M22:U22"/>
    <mergeCell ref="M10:U10"/>
    <mergeCell ref="M11:U11"/>
    <mergeCell ref="M12:U12"/>
    <mergeCell ref="M13:U13"/>
    <mergeCell ref="M14:U14"/>
  </mergeCells>
  <conditionalFormatting sqref="A66">
    <cfRule type="cellIs" priority="1" operator="equal">
      <formula>$D$25</formula>
    </cfRule>
  </conditionalFormatting>
  <conditionalFormatting sqref="A67:A73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1800-000000000000}">
          <x14:formula1>
            <xm:f>'\\Dcalidad\metrocal\SGC Vigente 2018-07-14\Clientes\Certificados\2018\Dentro de alcance\Masa\[NI-MC-M-006-2018 FA Empresa Servicios Electrónicos Azocar S,A.xlsx]Generales'!#REF!</xm:f>
          </x14:formula1>
          <xm:sqref>I78:P78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70"/>
  <sheetViews>
    <sheetView topLeftCell="A22" workbookViewId="0">
      <selection activeCell="G11" sqref="G11"/>
    </sheetView>
  </sheetViews>
  <sheetFormatPr baseColWidth="10" defaultColWidth="11.44140625" defaultRowHeight="14.4" x14ac:dyDescent="0.3"/>
  <cols>
    <col min="1" max="1" width="7.109375" style="51" customWidth="1"/>
    <col min="2" max="2" width="56.88671875" style="51" customWidth="1"/>
    <col min="3" max="3" width="83.88671875" style="51" bestFit="1" customWidth="1"/>
  </cols>
  <sheetData>
    <row r="1" spans="1:3" ht="6.6" customHeight="1" x14ac:dyDescent="0.3">
      <c r="A1"/>
      <c r="B1"/>
      <c r="C1"/>
    </row>
    <row r="2" spans="1:3" x14ac:dyDescent="0.3">
      <c r="A2" s="808" t="s">
        <v>546</v>
      </c>
      <c r="B2" s="808"/>
      <c r="C2" s="808"/>
    </row>
    <row r="3" spans="1:3" x14ac:dyDescent="0.3">
      <c r="B3" s="809" t="s">
        <v>547</v>
      </c>
      <c r="C3" s="809"/>
    </row>
    <row r="4" spans="1:3" ht="7.2" customHeight="1" x14ac:dyDescent="0.3">
      <c r="B4" s="470"/>
      <c r="C4" s="470"/>
    </row>
    <row r="5" spans="1:3" x14ac:dyDescent="0.3">
      <c r="A5" s="558" t="s">
        <v>548</v>
      </c>
      <c r="B5" s="559" t="s">
        <v>545</v>
      </c>
      <c r="C5" s="559" t="s">
        <v>1353</v>
      </c>
    </row>
    <row r="6" spans="1:3" x14ac:dyDescent="0.3">
      <c r="A6" s="560">
        <v>1</v>
      </c>
      <c r="B6" s="548" t="s">
        <v>840</v>
      </c>
      <c r="C6" s="548" t="s">
        <v>549</v>
      </c>
    </row>
    <row r="7" spans="1:3" x14ac:dyDescent="0.3">
      <c r="A7" s="560">
        <v>2</v>
      </c>
      <c r="B7" s="550" t="s">
        <v>841</v>
      </c>
      <c r="C7" s="548" t="s">
        <v>842</v>
      </c>
    </row>
    <row r="8" spans="1:3" x14ac:dyDescent="0.3">
      <c r="A8" s="560">
        <v>3</v>
      </c>
      <c r="B8" s="548" t="s">
        <v>560</v>
      </c>
      <c r="C8" s="548" t="s">
        <v>561</v>
      </c>
    </row>
    <row r="9" spans="1:3" x14ac:dyDescent="0.3">
      <c r="A9" s="560">
        <v>4</v>
      </c>
      <c r="B9" s="548" t="s">
        <v>843</v>
      </c>
      <c r="C9" s="548" t="s">
        <v>844</v>
      </c>
    </row>
    <row r="10" spans="1:3" x14ac:dyDescent="0.3">
      <c r="A10" s="560">
        <v>5</v>
      </c>
      <c r="B10" s="548" t="s">
        <v>550</v>
      </c>
      <c r="C10" s="548" t="s">
        <v>551</v>
      </c>
    </row>
    <row r="11" spans="1:3" x14ac:dyDescent="0.3">
      <c r="A11" s="560">
        <v>6</v>
      </c>
      <c r="B11" s="551" t="s">
        <v>845</v>
      </c>
      <c r="C11" s="551" t="s">
        <v>846</v>
      </c>
    </row>
    <row r="12" spans="1:3" x14ac:dyDescent="0.3">
      <c r="A12" s="560">
        <v>7</v>
      </c>
      <c r="B12" s="548" t="s">
        <v>847</v>
      </c>
      <c r="C12" s="548" t="s">
        <v>848</v>
      </c>
    </row>
    <row r="13" spans="1:3" x14ac:dyDescent="0.3">
      <c r="A13" s="560">
        <v>8</v>
      </c>
      <c r="B13" s="548" t="s">
        <v>563</v>
      </c>
      <c r="C13" s="548" t="s">
        <v>564</v>
      </c>
    </row>
    <row r="14" spans="1:3" x14ac:dyDescent="0.3">
      <c r="A14" s="560">
        <v>9</v>
      </c>
      <c r="B14" s="548" t="s">
        <v>552</v>
      </c>
      <c r="C14" s="548" t="s">
        <v>553</v>
      </c>
    </row>
    <row r="15" spans="1:3" x14ac:dyDescent="0.3">
      <c r="A15" s="560">
        <v>10</v>
      </c>
      <c r="B15" s="548" t="s">
        <v>556</v>
      </c>
      <c r="C15" s="548" t="s">
        <v>557</v>
      </c>
    </row>
    <row r="16" spans="1:3" x14ac:dyDescent="0.3">
      <c r="A16" s="560">
        <v>11</v>
      </c>
      <c r="B16" s="215" t="s">
        <v>849</v>
      </c>
      <c r="C16" s="551" t="s">
        <v>850</v>
      </c>
    </row>
    <row r="17" spans="1:3" x14ac:dyDescent="0.3">
      <c r="A17" s="560">
        <v>12</v>
      </c>
      <c r="B17" s="548" t="s">
        <v>851</v>
      </c>
      <c r="C17" s="548" t="s">
        <v>852</v>
      </c>
    </row>
    <row r="18" spans="1:3" x14ac:dyDescent="0.3">
      <c r="A18" s="560">
        <v>13</v>
      </c>
      <c r="B18" s="548" t="s">
        <v>554</v>
      </c>
      <c r="C18" s="548" t="s">
        <v>555</v>
      </c>
    </row>
    <row r="19" spans="1:3" x14ac:dyDescent="0.3">
      <c r="A19" s="560">
        <v>14</v>
      </c>
      <c r="B19" s="548" t="s">
        <v>853</v>
      </c>
      <c r="C19" s="548" t="s">
        <v>611</v>
      </c>
    </row>
    <row r="20" spans="1:3" x14ac:dyDescent="0.3">
      <c r="A20" s="560">
        <v>15</v>
      </c>
      <c r="B20" s="548" t="s">
        <v>854</v>
      </c>
      <c r="C20" s="548" t="s">
        <v>855</v>
      </c>
    </row>
    <row r="21" spans="1:3" x14ac:dyDescent="0.3">
      <c r="A21" s="560">
        <v>16</v>
      </c>
      <c r="B21" s="548" t="s">
        <v>856</v>
      </c>
      <c r="C21" s="548" t="s">
        <v>565</v>
      </c>
    </row>
    <row r="22" spans="1:3" ht="26.4" x14ac:dyDescent="0.3">
      <c r="A22" s="560">
        <v>17</v>
      </c>
      <c r="B22" s="548" t="s">
        <v>857</v>
      </c>
      <c r="C22" s="548" t="s">
        <v>858</v>
      </c>
    </row>
    <row r="23" spans="1:3" x14ac:dyDescent="0.3">
      <c r="A23" s="560">
        <v>18</v>
      </c>
      <c r="B23" s="548" t="s">
        <v>859</v>
      </c>
      <c r="C23" s="548" t="s">
        <v>860</v>
      </c>
    </row>
    <row r="24" spans="1:3" x14ac:dyDescent="0.3">
      <c r="A24" s="560">
        <v>19</v>
      </c>
      <c r="B24" s="548" t="s">
        <v>391</v>
      </c>
      <c r="C24" s="548" t="s">
        <v>861</v>
      </c>
    </row>
    <row r="25" spans="1:3" x14ac:dyDescent="0.3">
      <c r="A25" s="560">
        <v>20</v>
      </c>
      <c r="B25" s="548" t="s">
        <v>862</v>
      </c>
      <c r="C25" s="548" t="s">
        <v>863</v>
      </c>
    </row>
    <row r="26" spans="1:3" x14ac:dyDescent="0.3">
      <c r="A26" s="560">
        <v>21</v>
      </c>
      <c r="B26" s="548" t="s">
        <v>864</v>
      </c>
      <c r="C26" s="548" t="s">
        <v>865</v>
      </c>
    </row>
    <row r="27" spans="1:3" x14ac:dyDescent="0.3">
      <c r="A27" s="560">
        <v>22</v>
      </c>
      <c r="B27" s="548" t="s">
        <v>866</v>
      </c>
      <c r="C27" s="548" t="s">
        <v>867</v>
      </c>
    </row>
    <row r="28" spans="1:3" x14ac:dyDescent="0.3">
      <c r="A28" s="560">
        <v>23</v>
      </c>
      <c r="B28" s="548" t="s">
        <v>868</v>
      </c>
      <c r="C28" s="548" t="s">
        <v>869</v>
      </c>
    </row>
    <row r="29" spans="1:3" x14ac:dyDescent="0.3">
      <c r="A29" s="560">
        <v>24</v>
      </c>
      <c r="B29" s="548" t="s">
        <v>870</v>
      </c>
      <c r="C29" s="548" t="s">
        <v>558</v>
      </c>
    </row>
    <row r="30" spans="1:3" x14ac:dyDescent="0.3">
      <c r="A30" s="560">
        <v>25</v>
      </c>
      <c r="B30" s="548" t="s">
        <v>871</v>
      </c>
      <c r="C30" s="548" t="s">
        <v>562</v>
      </c>
    </row>
    <row r="31" spans="1:3" x14ac:dyDescent="0.3">
      <c r="A31" s="560">
        <v>26</v>
      </c>
      <c r="B31" s="548" t="s">
        <v>872</v>
      </c>
      <c r="C31" s="548" t="s">
        <v>873</v>
      </c>
    </row>
    <row r="32" spans="1:3" x14ac:dyDescent="0.3">
      <c r="A32" s="560">
        <v>27</v>
      </c>
      <c r="B32" s="548" t="s">
        <v>874</v>
      </c>
      <c r="C32" s="548" t="s">
        <v>875</v>
      </c>
    </row>
    <row r="33" spans="1:3" x14ac:dyDescent="0.3">
      <c r="A33" s="560">
        <v>28</v>
      </c>
      <c r="B33" s="548" t="s">
        <v>559</v>
      </c>
      <c r="C33" s="550" t="s">
        <v>876</v>
      </c>
    </row>
    <row r="34" spans="1:3" x14ac:dyDescent="0.3">
      <c r="A34" s="560">
        <v>29</v>
      </c>
      <c r="B34" s="548" t="s">
        <v>877</v>
      </c>
      <c r="C34" s="548" t="s">
        <v>807</v>
      </c>
    </row>
    <row r="35" spans="1:3" x14ac:dyDescent="0.3">
      <c r="A35" s="560">
        <v>30</v>
      </c>
      <c r="B35" s="548" t="s">
        <v>878</v>
      </c>
      <c r="C35" s="548" t="s">
        <v>879</v>
      </c>
    </row>
    <row r="36" spans="1:3" x14ac:dyDescent="0.3">
      <c r="A36" s="560">
        <v>31</v>
      </c>
      <c r="B36" s="548" t="s">
        <v>880</v>
      </c>
      <c r="C36" s="548" t="s">
        <v>881</v>
      </c>
    </row>
    <row r="37" spans="1:3" x14ac:dyDescent="0.3">
      <c r="A37" s="560">
        <v>32</v>
      </c>
      <c r="B37" s="548" t="s">
        <v>566</v>
      </c>
      <c r="C37" s="548" t="s">
        <v>567</v>
      </c>
    </row>
    <row r="38" spans="1:3" x14ac:dyDescent="0.3">
      <c r="A38" s="560">
        <v>33</v>
      </c>
      <c r="B38" s="548" t="s">
        <v>882</v>
      </c>
      <c r="C38" s="548" t="s">
        <v>883</v>
      </c>
    </row>
    <row r="39" spans="1:3" x14ac:dyDescent="0.3">
      <c r="A39" s="560">
        <v>34</v>
      </c>
      <c r="B39" s="548" t="s">
        <v>884</v>
      </c>
      <c r="C39" s="548" t="s">
        <v>885</v>
      </c>
    </row>
    <row r="40" spans="1:3" x14ac:dyDescent="0.3">
      <c r="A40" s="560">
        <v>35</v>
      </c>
      <c r="B40" s="215" t="s">
        <v>886</v>
      </c>
      <c r="C40" s="548" t="s">
        <v>887</v>
      </c>
    </row>
    <row r="41" spans="1:3" x14ac:dyDescent="0.3">
      <c r="A41" s="560">
        <v>36</v>
      </c>
      <c r="B41" s="548" t="s">
        <v>808</v>
      </c>
      <c r="C41" s="548" t="s">
        <v>809</v>
      </c>
    </row>
    <row r="42" spans="1:3" x14ac:dyDescent="0.3">
      <c r="A42" s="560">
        <v>37</v>
      </c>
      <c r="B42" s="552" t="s">
        <v>839</v>
      </c>
      <c r="C42" s="548" t="s">
        <v>888</v>
      </c>
    </row>
    <row r="43" spans="1:3" x14ac:dyDescent="0.3">
      <c r="A43" s="560">
        <v>38</v>
      </c>
      <c r="B43" s="548" t="s">
        <v>889</v>
      </c>
      <c r="C43" s="548" t="s">
        <v>890</v>
      </c>
    </row>
    <row r="44" spans="1:3" x14ac:dyDescent="0.3">
      <c r="A44" s="560">
        <v>39</v>
      </c>
      <c r="B44" s="548" t="s">
        <v>891</v>
      </c>
      <c r="C44" s="548" t="s">
        <v>892</v>
      </c>
    </row>
    <row r="45" spans="1:3" x14ac:dyDescent="0.3">
      <c r="A45" s="560">
        <v>40</v>
      </c>
      <c r="B45" s="548" t="s">
        <v>893</v>
      </c>
      <c r="C45" s="548" t="s">
        <v>894</v>
      </c>
    </row>
    <row r="46" spans="1:3" x14ac:dyDescent="0.3">
      <c r="A46" s="560">
        <v>41</v>
      </c>
      <c r="B46" s="548" t="s">
        <v>895</v>
      </c>
      <c r="C46" s="548" t="s">
        <v>571</v>
      </c>
    </row>
    <row r="47" spans="1:3" x14ac:dyDescent="0.3">
      <c r="A47" s="560">
        <v>42</v>
      </c>
      <c r="B47" s="548" t="s">
        <v>896</v>
      </c>
      <c r="C47" s="548" t="s">
        <v>568</v>
      </c>
    </row>
    <row r="48" spans="1:3" x14ac:dyDescent="0.3">
      <c r="A48" s="560">
        <v>43</v>
      </c>
      <c r="B48" s="548" t="s">
        <v>897</v>
      </c>
      <c r="C48" s="548" t="s">
        <v>569</v>
      </c>
    </row>
    <row r="49" spans="1:3" x14ac:dyDescent="0.3">
      <c r="A49" s="560">
        <v>44</v>
      </c>
      <c r="B49" s="548" t="s">
        <v>572</v>
      </c>
      <c r="C49" s="548" t="s">
        <v>573</v>
      </c>
    </row>
    <row r="50" spans="1:3" x14ac:dyDescent="0.3">
      <c r="A50" s="560">
        <v>45</v>
      </c>
      <c r="B50" s="548" t="s">
        <v>898</v>
      </c>
      <c r="C50" s="548" t="s">
        <v>899</v>
      </c>
    </row>
    <row r="51" spans="1:3" x14ac:dyDescent="0.3">
      <c r="A51" s="560">
        <v>46</v>
      </c>
      <c r="B51" s="548" t="s">
        <v>900</v>
      </c>
      <c r="C51" s="548" t="s">
        <v>901</v>
      </c>
    </row>
    <row r="52" spans="1:3" x14ac:dyDescent="0.3">
      <c r="A52" s="560"/>
      <c r="B52" s="548" t="s">
        <v>902</v>
      </c>
      <c r="C52" s="548" t="s">
        <v>903</v>
      </c>
    </row>
    <row r="53" spans="1:3" x14ac:dyDescent="0.3">
      <c r="A53" s="560">
        <v>47</v>
      </c>
      <c r="B53" s="548" t="s">
        <v>904</v>
      </c>
      <c r="C53" s="548" t="s">
        <v>576</v>
      </c>
    </row>
    <row r="54" spans="1:3" x14ac:dyDescent="0.3">
      <c r="A54" s="560">
        <v>48</v>
      </c>
      <c r="B54" s="548" t="s">
        <v>905</v>
      </c>
      <c r="C54" s="548" t="s">
        <v>906</v>
      </c>
    </row>
    <row r="55" spans="1:3" x14ac:dyDescent="0.3">
      <c r="A55" s="560">
        <v>49</v>
      </c>
      <c r="B55" s="548" t="s">
        <v>907</v>
      </c>
      <c r="C55" s="548" t="s">
        <v>908</v>
      </c>
    </row>
    <row r="56" spans="1:3" x14ac:dyDescent="0.3">
      <c r="A56" s="560">
        <v>50</v>
      </c>
      <c r="B56" s="548" t="s">
        <v>909</v>
      </c>
      <c r="C56" s="548" t="s">
        <v>574</v>
      </c>
    </row>
    <row r="57" spans="1:3" x14ac:dyDescent="0.3">
      <c r="A57" s="560">
        <v>51</v>
      </c>
      <c r="B57" s="548" t="s">
        <v>910</v>
      </c>
      <c r="C57" s="548" t="s">
        <v>575</v>
      </c>
    </row>
    <row r="58" spans="1:3" x14ac:dyDescent="0.3">
      <c r="A58" s="560">
        <v>52</v>
      </c>
      <c r="B58" s="548" t="s">
        <v>911</v>
      </c>
      <c r="C58" s="548" t="s">
        <v>579</v>
      </c>
    </row>
    <row r="59" spans="1:3" x14ac:dyDescent="0.3">
      <c r="A59" s="560">
        <v>53</v>
      </c>
      <c r="B59" s="548" t="s">
        <v>912</v>
      </c>
      <c r="C59" s="548" t="s">
        <v>579</v>
      </c>
    </row>
    <row r="60" spans="1:3" x14ac:dyDescent="0.3">
      <c r="A60" s="560">
        <v>54</v>
      </c>
      <c r="B60" s="548" t="s">
        <v>913</v>
      </c>
      <c r="C60" s="548" t="s">
        <v>579</v>
      </c>
    </row>
    <row r="61" spans="1:3" x14ac:dyDescent="0.3">
      <c r="A61" s="560">
        <v>55</v>
      </c>
      <c r="B61" s="548" t="s">
        <v>914</v>
      </c>
      <c r="C61" s="548" t="s">
        <v>915</v>
      </c>
    </row>
    <row r="62" spans="1:3" x14ac:dyDescent="0.3">
      <c r="A62" s="560">
        <v>56</v>
      </c>
      <c r="B62" s="548" t="s">
        <v>916</v>
      </c>
      <c r="C62" s="548" t="s">
        <v>582</v>
      </c>
    </row>
    <row r="63" spans="1:3" x14ac:dyDescent="0.3">
      <c r="A63" s="560">
        <v>57</v>
      </c>
      <c r="B63" s="548" t="s">
        <v>917</v>
      </c>
      <c r="C63" s="548" t="s">
        <v>918</v>
      </c>
    </row>
    <row r="64" spans="1:3" x14ac:dyDescent="0.3">
      <c r="A64" s="560">
        <v>58</v>
      </c>
      <c r="B64" s="548" t="s">
        <v>919</v>
      </c>
      <c r="C64" s="548" t="s">
        <v>581</v>
      </c>
    </row>
    <row r="65" spans="1:3" x14ac:dyDescent="0.3">
      <c r="A65" s="560">
        <v>59</v>
      </c>
      <c r="B65" s="548" t="s">
        <v>920</v>
      </c>
      <c r="C65" s="553" t="s">
        <v>921</v>
      </c>
    </row>
    <row r="66" spans="1:3" x14ac:dyDescent="0.3">
      <c r="A66" s="560">
        <v>60</v>
      </c>
      <c r="B66" s="548" t="s">
        <v>922</v>
      </c>
      <c r="C66" s="553" t="s">
        <v>923</v>
      </c>
    </row>
    <row r="67" spans="1:3" x14ac:dyDescent="0.3">
      <c r="A67" s="560">
        <v>61</v>
      </c>
      <c r="B67" s="554" t="s">
        <v>924</v>
      </c>
      <c r="C67" s="554" t="s">
        <v>580</v>
      </c>
    </row>
    <row r="68" spans="1:3" x14ac:dyDescent="0.3">
      <c r="A68" s="560">
        <v>62</v>
      </c>
      <c r="B68" s="548" t="s">
        <v>925</v>
      </c>
      <c r="C68" s="548" t="s">
        <v>926</v>
      </c>
    </row>
    <row r="69" spans="1:3" x14ac:dyDescent="0.3">
      <c r="A69" s="560">
        <v>63</v>
      </c>
      <c r="B69" s="548" t="s">
        <v>927</v>
      </c>
      <c r="C69" s="548" t="s">
        <v>887</v>
      </c>
    </row>
    <row r="70" spans="1:3" x14ac:dyDescent="0.3">
      <c r="A70" s="560">
        <v>64</v>
      </c>
      <c r="B70" s="548" t="s">
        <v>928</v>
      </c>
      <c r="C70" s="548" t="s">
        <v>583</v>
      </c>
    </row>
    <row r="71" spans="1:3" x14ac:dyDescent="0.3">
      <c r="A71" s="560">
        <v>65</v>
      </c>
      <c r="B71" s="548" t="s">
        <v>929</v>
      </c>
      <c r="C71" s="548" t="s">
        <v>930</v>
      </c>
    </row>
    <row r="72" spans="1:3" x14ac:dyDescent="0.3">
      <c r="A72" s="560">
        <v>66</v>
      </c>
      <c r="B72" s="548" t="s">
        <v>584</v>
      </c>
      <c r="C72" s="548" t="s">
        <v>863</v>
      </c>
    </row>
    <row r="73" spans="1:3" x14ac:dyDescent="0.3">
      <c r="A73" s="560">
        <v>67</v>
      </c>
      <c r="B73" s="548" t="s">
        <v>931</v>
      </c>
      <c r="C73" s="548" t="s">
        <v>932</v>
      </c>
    </row>
    <row r="74" spans="1:3" x14ac:dyDescent="0.3">
      <c r="A74" s="560">
        <v>68</v>
      </c>
      <c r="B74" s="548" t="s">
        <v>933</v>
      </c>
      <c r="C74" s="548" t="s">
        <v>585</v>
      </c>
    </row>
    <row r="75" spans="1:3" x14ac:dyDescent="0.3">
      <c r="A75" s="560">
        <v>69</v>
      </c>
      <c r="B75" s="548" t="s">
        <v>934</v>
      </c>
      <c r="C75" s="548" t="s">
        <v>935</v>
      </c>
    </row>
    <row r="76" spans="1:3" x14ac:dyDescent="0.3">
      <c r="A76" s="560">
        <v>70</v>
      </c>
      <c r="B76" s="548" t="s">
        <v>936</v>
      </c>
      <c r="C76" s="548" t="s">
        <v>937</v>
      </c>
    </row>
    <row r="77" spans="1:3" x14ac:dyDescent="0.3">
      <c r="A77" s="560"/>
      <c r="B77" s="548" t="s">
        <v>938</v>
      </c>
      <c r="C77" s="548" t="s">
        <v>939</v>
      </c>
    </row>
    <row r="78" spans="1:3" x14ac:dyDescent="0.3">
      <c r="A78" s="560">
        <v>71</v>
      </c>
      <c r="B78" s="548" t="s">
        <v>940</v>
      </c>
      <c r="C78" s="548" t="s">
        <v>863</v>
      </c>
    </row>
    <row r="79" spans="1:3" x14ac:dyDescent="0.3">
      <c r="A79" s="560">
        <v>72</v>
      </c>
      <c r="B79" s="548" t="s">
        <v>941</v>
      </c>
      <c r="C79" s="548" t="s">
        <v>942</v>
      </c>
    </row>
    <row r="80" spans="1:3" x14ac:dyDescent="0.3">
      <c r="A80" s="560">
        <v>73</v>
      </c>
      <c r="B80" s="548" t="s">
        <v>943</v>
      </c>
      <c r="C80" s="548" t="s">
        <v>944</v>
      </c>
    </row>
    <row r="81" spans="1:3" x14ac:dyDescent="0.3">
      <c r="A81" s="560">
        <v>74</v>
      </c>
      <c r="B81" s="548" t="s">
        <v>586</v>
      </c>
      <c r="C81" s="548" t="s">
        <v>945</v>
      </c>
    </row>
    <row r="82" spans="1:3" x14ac:dyDescent="0.3">
      <c r="A82" s="560">
        <v>75</v>
      </c>
      <c r="B82" s="548" t="s">
        <v>811</v>
      </c>
      <c r="C82" s="548" t="s">
        <v>946</v>
      </c>
    </row>
    <row r="83" spans="1:3" x14ac:dyDescent="0.3">
      <c r="A83" s="560">
        <v>76</v>
      </c>
      <c r="B83" s="548" t="s">
        <v>947</v>
      </c>
      <c r="C83" s="548" t="s">
        <v>948</v>
      </c>
    </row>
    <row r="84" spans="1:3" x14ac:dyDescent="0.3">
      <c r="A84" s="560">
        <v>77</v>
      </c>
      <c r="B84" s="548" t="s">
        <v>949</v>
      </c>
      <c r="C84" s="548" t="s">
        <v>950</v>
      </c>
    </row>
    <row r="85" spans="1:3" x14ac:dyDescent="0.3">
      <c r="A85" s="560">
        <v>78</v>
      </c>
      <c r="B85" s="548" t="s">
        <v>951</v>
      </c>
      <c r="C85" s="548" t="s">
        <v>952</v>
      </c>
    </row>
    <row r="86" spans="1:3" x14ac:dyDescent="0.3">
      <c r="A86" s="560">
        <v>79</v>
      </c>
      <c r="B86" s="548" t="s">
        <v>953</v>
      </c>
      <c r="C86" s="215" t="s">
        <v>954</v>
      </c>
    </row>
    <row r="87" spans="1:3" x14ac:dyDescent="0.3">
      <c r="A87" s="560">
        <v>80</v>
      </c>
      <c r="B87" s="548" t="s">
        <v>955</v>
      </c>
      <c r="C87" s="548" t="s">
        <v>956</v>
      </c>
    </row>
    <row r="88" spans="1:3" x14ac:dyDescent="0.3">
      <c r="A88" s="560">
        <v>81</v>
      </c>
      <c r="B88" s="548" t="s">
        <v>957</v>
      </c>
      <c r="C88" s="548" t="s">
        <v>587</v>
      </c>
    </row>
    <row r="89" spans="1:3" x14ac:dyDescent="0.3">
      <c r="A89" s="560">
        <v>82</v>
      </c>
      <c r="B89" s="548" t="s">
        <v>958</v>
      </c>
      <c r="C89" s="548" t="s">
        <v>959</v>
      </c>
    </row>
    <row r="90" spans="1:3" x14ac:dyDescent="0.3">
      <c r="A90" s="560">
        <v>83</v>
      </c>
      <c r="B90" s="548" t="s">
        <v>960</v>
      </c>
      <c r="C90" s="548" t="s">
        <v>961</v>
      </c>
    </row>
    <row r="91" spans="1:3" x14ac:dyDescent="0.3">
      <c r="A91" s="560">
        <v>84</v>
      </c>
      <c r="B91" s="548" t="s">
        <v>962</v>
      </c>
      <c r="C91" s="548" t="s">
        <v>588</v>
      </c>
    </row>
    <row r="92" spans="1:3" x14ac:dyDescent="0.3">
      <c r="A92" s="560">
        <v>85</v>
      </c>
      <c r="B92" s="548" t="s">
        <v>812</v>
      </c>
      <c r="C92" s="548" t="s">
        <v>813</v>
      </c>
    </row>
    <row r="93" spans="1:3" x14ac:dyDescent="0.3">
      <c r="A93" s="560">
        <v>86</v>
      </c>
      <c r="B93" s="548" t="s">
        <v>963</v>
      </c>
      <c r="C93" s="548" t="s">
        <v>964</v>
      </c>
    </row>
    <row r="94" spans="1:3" x14ac:dyDescent="0.3">
      <c r="A94" s="560">
        <v>87</v>
      </c>
      <c r="B94" s="548" t="s">
        <v>965</v>
      </c>
      <c r="C94" s="548" t="s">
        <v>810</v>
      </c>
    </row>
    <row r="95" spans="1:3" x14ac:dyDescent="0.3">
      <c r="A95" s="560">
        <v>88</v>
      </c>
      <c r="B95" s="548" t="s">
        <v>966</v>
      </c>
      <c r="C95" s="548" t="s">
        <v>967</v>
      </c>
    </row>
    <row r="96" spans="1:3" x14ac:dyDescent="0.3">
      <c r="A96" s="560">
        <v>89</v>
      </c>
      <c r="B96" s="548" t="s">
        <v>968</v>
      </c>
      <c r="C96" s="548" t="s">
        <v>969</v>
      </c>
    </row>
    <row r="97" spans="1:3" x14ac:dyDescent="0.3">
      <c r="A97" s="560">
        <v>90</v>
      </c>
      <c r="B97" s="548" t="s">
        <v>970</v>
      </c>
      <c r="C97" s="548" t="s">
        <v>971</v>
      </c>
    </row>
    <row r="98" spans="1:3" x14ac:dyDescent="0.3">
      <c r="A98" s="560"/>
      <c r="B98" s="548" t="s">
        <v>972</v>
      </c>
      <c r="C98" s="548" t="s">
        <v>973</v>
      </c>
    </row>
    <row r="99" spans="1:3" x14ac:dyDescent="0.3">
      <c r="A99" s="560">
        <v>91</v>
      </c>
      <c r="B99" s="548" t="s">
        <v>974</v>
      </c>
      <c r="C99" s="548" t="s">
        <v>975</v>
      </c>
    </row>
    <row r="100" spans="1:3" x14ac:dyDescent="0.3">
      <c r="A100" s="560"/>
      <c r="B100" s="548" t="s">
        <v>976</v>
      </c>
      <c r="C100" s="548" t="s">
        <v>977</v>
      </c>
    </row>
    <row r="101" spans="1:3" x14ac:dyDescent="0.3">
      <c r="A101" s="560">
        <v>92</v>
      </c>
      <c r="B101" s="548" t="s">
        <v>978</v>
      </c>
      <c r="C101" s="548" t="s">
        <v>589</v>
      </c>
    </row>
    <row r="102" spans="1:3" x14ac:dyDescent="0.3">
      <c r="A102" s="560">
        <v>93</v>
      </c>
      <c r="B102" s="548" t="s">
        <v>979</v>
      </c>
      <c r="C102" s="548" t="s">
        <v>980</v>
      </c>
    </row>
    <row r="103" spans="1:3" x14ac:dyDescent="0.3">
      <c r="A103" s="560">
        <v>94</v>
      </c>
      <c r="B103" s="548" t="s">
        <v>981</v>
      </c>
      <c r="C103" s="548" t="s">
        <v>982</v>
      </c>
    </row>
    <row r="104" spans="1:3" x14ac:dyDescent="0.3">
      <c r="A104" s="560">
        <v>95</v>
      </c>
      <c r="B104" s="548" t="s">
        <v>983</v>
      </c>
      <c r="C104" s="548" t="s">
        <v>984</v>
      </c>
    </row>
    <row r="105" spans="1:3" x14ac:dyDescent="0.3">
      <c r="A105" s="560">
        <v>96</v>
      </c>
      <c r="B105" s="548" t="s">
        <v>985</v>
      </c>
      <c r="C105" s="548" t="s">
        <v>986</v>
      </c>
    </row>
    <row r="106" spans="1:3" x14ac:dyDescent="0.3">
      <c r="A106" s="560">
        <v>97</v>
      </c>
      <c r="B106" s="548" t="s">
        <v>987</v>
      </c>
      <c r="C106" s="548" t="s">
        <v>590</v>
      </c>
    </row>
    <row r="107" spans="1:3" x14ac:dyDescent="0.3">
      <c r="A107" s="560">
        <v>98</v>
      </c>
      <c r="B107" s="548" t="s">
        <v>988</v>
      </c>
      <c r="C107" s="548" t="s">
        <v>989</v>
      </c>
    </row>
    <row r="108" spans="1:3" x14ac:dyDescent="0.3">
      <c r="A108" s="560">
        <v>99</v>
      </c>
      <c r="B108" s="548" t="s">
        <v>990</v>
      </c>
      <c r="C108" s="548"/>
    </row>
    <row r="109" spans="1:3" x14ac:dyDescent="0.3">
      <c r="A109" s="560">
        <v>100</v>
      </c>
      <c r="B109" s="548" t="s">
        <v>420</v>
      </c>
      <c r="C109" s="548" t="s">
        <v>991</v>
      </c>
    </row>
    <row r="110" spans="1:3" x14ac:dyDescent="0.3">
      <c r="A110" s="560">
        <v>101</v>
      </c>
      <c r="B110" s="548" t="s">
        <v>992</v>
      </c>
      <c r="C110" s="548" t="s">
        <v>993</v>
      </c>
    </row>
    <row r="111" spans="1:3" x14ac:dyDescent="0.3">
      <c r="A111" s="560">
        <v>102</v>
      </c>
      <c r="B111" s="548" t="s">
        <v>994</v>
      </c>
      <c r="C111" s="548" t="s">
        <v>995</v>
      </c>
    </row>
    <row r="112" spans="1:3" x14ac:dyDescent="0.3">
      <c r="A112" s="560">
        <v>103</v>
      </c>
      <c r="B112" s="548" t="s">
        <v>591</v>
      </c>
      <c r="C112" s="548" t="s">
        <v>592</v>
      </c>
    </row>
    <row r="113" spans="1:3" x14ac:dyDescent="0.3">
      <c r="A113" s="560">
        <v>104</v>
      </c>
      <c r="B113" s="548" t="s">
        <v>996</v>
      </c>
      <c r="C113" s="548" t="s">
        <v>997</v>
      </c>
    </row>
    <row r="114" spans="1:3" x14ac:dyDescent="0.3">
      <c r="A114" s="560">
        <v>105</v>
      </c>
      <c r="B114" s="548" t="s">
        <v>998</v>
      </c>
      <c r="C114" s="548" t="s">
        <v>999</v>
      </c>
    </row>
    <row r="115" spans="1:3" x14ac:dyDescent="0.3">
      <c r="A115" s="560">
        <v>106</v>
      </c>
      <c r="B115" s="548" t="s">
        <v>1000</v>
      </c>
      <c r="C115" s="548" t="s">
        <v>1001</v>
      </c>
    </row>
    <row r="116" spans="1:3" x14ac:dyDescent="0.3">
      <c r="A116" s="560">
        <v>107</v>
      </c>
      <c r="B116" s="548" t="s">
        <v>1002</v>
      </c>
      <c r="C116" s="548" t="s">
        <v>1003</v>
      </c>
    </row>
    <row r="117" spans="1:3" x14ac:dyDescent="0.3">
      <c r="A117" s="560">
        <v>108</v>
      </c>
      <c r="B117" s="548" t="s">
        <v>422</v>
      </c>
      <c r="C117" s="548" t="s">
        <v>1004</v>
      </c>
    </row>
    <row r="118" spans="1:3" x14ac:dyDescent="0.3">
      <c r="A118" s="560">
        <v>109</v>
      </c>
      <c r="B118" s="548" t="s">
        <v>1005</v>
      </c>
      <c r="C118" s="548" t="s">
        <v>593</v>
      </c>
    </row>
    <row r="119" spans="1:3" x14ac:dyDescent="0.3">
      <c r="A119" s="560">
        <v>110</v>
      </c>
      <c r="B119" s="548" t="s">
        <v>595</v>
      </c>
      <c r="C119" s="548" t="s">
        <v>596</v>
      </c>
    </row>
    <row r="120" spans="1:3" x14ac:dyDescent="0.3">
      <c r="A120" s="560">
        <v>111</v>
      </c>
      <c r="B120" s="548" t="s">
        <v>1006</v>
      </c>
      <c r="C120" s="548" t="s">
        <v>594</v>
      </c>
    </row>
    <row r="121" spans="1:3" x14ac:dyDescent="0.3">
      <c r="A121" s="560">
        <v>112</v>
      </c>
      <c r="B121" s="548" t="s">
        <v>1007</v>
      </c>
      <c r="C121" s="548" t="s">
        <v>1008</v>
      </c>
    </row>
    <row r="122" spans="1:3" x14ac:dyDescent="0.3">
      <c r="A122" s="560">
        <v>113</v>
      </c>
      <c r="B122" s="548" t="s">
        <v>1009</v>
      </c>
      <c r="C122" s="548" t="s">
        <v>597</v>
      </c>
    </row>
    <row r="123" spans="1:3" x14ac:dyDescent="0.3">
      <c r="A123" s="560">
        <v>114</v>
      </c>
      <c r="B123" s="548" t="s">
        <v>1010</v>
      </c>
      <c r="C123" s="548" t="s">
        <v>1011</v>
      </c>
    </row>
    <row r="124" spans="1:3" x14ac:dyDescent="0.3">
      <c r="A124" s="560">
        <v>115</v>
      </c>
      <c r="B124" s="548" t="s">
        <v>1012</v>
      </c>
      <c r="C124" s="548" t="s">
        <v>1013</v>
      </c>
    </row>
    <row r="125" spans="1:3" x14ac:dyDescent="0.3">
      <c r="A125" s="560">
        <v>116</v>
      </c>
      <c r="B125" s="548" t="s">
        <v>1014</v>
      </c>
      <c r="C125" s="548" t="s">
        <v>1015</v>
      </c>
    </row>
    <row r="126" spans="1:3" x14ac:dyDescent="0.3">
      <c r="A126" s="560">
        <v>117</v>
      </c>
      <c r="B126" s="548" t="s">
        <v>598</v>
      </c>
      <c r="C126" s="548" t="s">
        <v>599</v>
      </c>
    </row>
    <row r="127" spans="1:3" x14ac:dyDescent="0.3">
      <c r="A127" s="560">
        <v>118</v>
      </c>
      <c r="B127" s="548" t="s">
        <v>1016</v>
      </c>
      <c r="C127" s="548" t="s">
        <v>1017</v>
      </c>
    </row>
    <row r="128" spans="1:3" x14ac:dyDescent="0.3">
      <c r="A128" s="560">
        <v>119</v>
      </c>
      <c r="B128" s="548" t="s">
        <v>1018</v>
      </c>
      <c r="C128" s="548" t="s">
        <v>1019</v>
      </c>
    </row>
    <row r="129" spans="1:3" x14ac:dyDescent="0.3">
      <c r="A129" s="560">
        <v>120</v>
      </c>
      <c r="B129" s="548" t="s">
        <v>1020</v>
      </c>
      <c r="C129" s="548" t="s">
        <v>1021</v>
      </c>
    </row>
    <row r="130" spans="1:3" x14ac:dyDescent="0.3">
      <c r="A130" s="560">
        <v>121</v>
      </c>
      <c r="B130" s="548" t="s">
        <v>1022</v>
      </c>
      <c r="C130" s="548" t="s">
        <v>1023</v>
      </c>
    </row>
    <row r="131" spans="1:3" x14ac:dyDescent="0.3">
      <c r="A131" s="560">
        <v>122</v>
      </c>
      <c r="B131" s="548" t="s">
        <v>815</v>
      </c>
      <c r="C131" s="548" t="s">
        <v>1024</v>
      </c>
    </row>
    <row r="132" spans="1:3" x14ac:dyDescent="0.3">
      <c r="A132" s="560"/>
      <c r="B132" s="548" t="s">
        <v>1025</v>
      </c>
      <c r="C132" s="548" t="s">
        <v>1026</v>
      </c>
    </row>
    <row r="133" spans="1:3" x14ac:dyDescent="0.3">
      <c r="A133" s="560">
        <v>123</v>
      </c>
      <c r="B133" s="548" t="s">
        <v>1027</v>
      </c>
      <c r="C133" s="548" t="s">
        <v>600</v>
      </c>
    </row>
    <row r="134" spans="1:3" x14ac:dyDescent="0.3">
      <c r="A134" s="560">
        <v>124</v>
      </c>
      <c r="B134" s="548" t="s">
        <v>1028</v>
      </c>
      <c r="C134" s="548" t="s">
        <v>1029</v>
      </c>
    </row>
    <row r="135" spans="1:3" x14ac:dyDescent="0.3">
      <c r="A135" s="560">
        <v>125</v>
      </c>
      <c r="B135" s="548" t="s">
        <v>1030</v>
      </c>
      <c r="C135" s="548" t="s">
        <v>1031</v>
      </c>
    </row>
    <row r="136" spans="1:3" x14ac:dyDescent="0.3">
      <c r="A136" s="560">
        <v>126</v>
      </c>
      <c r="B136" s="548" t="s">
        <v>1032</v>
      </c>
      <c r="C136" s="548" t="s">
        <v>632</v>
      </c>
    </row>
    <row r="137" spans="1:3" x14ac:dyDescent="0.3">
      <c r="A137" s="560">
        <v>127</v>
      </c>
      <c r="B137" s="548" t="s">
        <v>1033</v>
      </c>
      <c r="C137" s="548" t="s">
        <v>601</v>
      </c>
    </row>
    <row r="138" spans="1:3" x14ac:dyDescent="0.3">
      <c r="A138" s="560">
        <v>128</v>
      </c>
      <c r="B138" s="548" t="s">
        <v>1034</v>
      </c>
      <c r="C138" s="548" t="s">
        <v>1035</v>
      </c>
    </row>
    <row r="139" spans="1:3" x14ac:dyDescent="0.3">
      <c r="A139" s="560">
        <v>129</v>
      </c>
      <c r="B139" s="548" t="s">
        <v>1036</v>
      </c>
      <c r="C139" s="548" t="s">
        <v>603</v>
      </c>
    </row>
    <row r="140" spans="1:3" ht="26.4" x14ac:dyDescent="0.3">
      <c r="A140" s="560">
        <v>130</v>
      </c>
      <c r="B140" s="548" t="s">
        <v>1037</v>
      </c>
      <c r="C140" s="548" t="s">
        <v>1038</v>
      </c>
    </row>
    <row r="141" spans="1:3" x14ac:dyDescent="0.3">
      <c r="A141" s="560"/>
      <c r="B141" s="548" t="s">
        <v>1039</v>
      </c>
      <c r="C141" s="548" t="s">
        <v>1040</v>
      </c>
    </row>
    <row r="142" spans="1:3" ht="26.4" x14ac:dyDescent="0.3">
      <c r="A142" s="560">
        <v>131</v>
      </c>
      <c r="B142" s="548" t="s">
        <v>1041</v>
      </c>
      <c r="C142" s="548" t="s">
        <v>1042</v>
      </c>
    </row>
    <row r="143" spans="1:3" x14ac:dyDescent="0.3">
      <c r="A143" s="560">
        <v>132</v>
      </c>
      <c r="B143" s="548" t="s">
        <v>1043</v>
      </c>
      <c r="C143" s="548" t="s">
        <v>1044</v>
      </c>
    </row>
    <row r="144" spans="1:3" x14ac:dyDescent="0.3">
      <c r="A144" s="560">
        <v>133</v>
      </c>
      <c r="B144" s="548" t="s">
        <v>1045</v>
      </c>
      <c r="C144" s="548" t="s">
        <v>1046</v>
      </c>
    </row>
    <row r="145" spans="1:3" x14ac:dyDescent="0.3">
      <c r="A145" s="560">
        <v>134</v>
      </c>
      <c r="B145" s="548" t="s">
        <v>1047</v>
      </c>
      <c r="C145" s="548" t="s">
        <v>1048</v>
      </c>
    </row>
    <row r="146" spans="1:3" x14ac:dyDescent="0.3">
      <c r="A146" s="560">
        <v>135</v>
      </c>
      <c r="B146" s="548" t="s">
        <v>1049</v>
      </c>
      <c r="C146" s="548" t="s">
        <v>608</v>
      </c>
    </row>
    <row r="147" spans="1:3" x14ac:dyDescent="0.3">
      <c r="A147" s="560">
        <v>136</v>
      </c>
      <c r="B147" s="548" t="s">
        <v>1050</v>
      </c>
      <c r="C147" s="548" t="s">
        <v>609</v>
      </c>
    </row>
    <row r="148" spans="1:3" x14ac:dyDescent="0.3">
      <c r="A148" s="560">
        <v>137</v>
      </c>
      <c r="B148" s="548" t="s">
        <v>1051</v>
      </c>
      <c r="C148" s="548" t="s">
        <v>1052</v>
      </c>
    </row>
    <row r="149" spans="1:3" x14ac:dyDescent="0.3">
      <c r="A149" s="560">
        <v>138</v>
      </c>
      <c r="B149" s="548" t="s">
        <v>1053</v>
      </c>
      <c r="C149" s="548" t="s">
        <v>863</v>
      </c>
    </row>
    <row r="150" spans="1:3" x14ac:dyDescent="0.3">
      <c r="A150" s="560">
        <v>139</v>
      </c>
      <c r="B150" s="548" t="s">
        <v>427</v>
      </c>
      <c r="C150" s="548" t="s">
        <v>605</v>
      </c>
    </row>
    <row r="151" spans="1:3" x14ac:dyDescent="0.3">
      <c r="A151" s="560">
        <v>140</v>
      </c>
      <c r="B151" s="548" t="s">
        <v>1054</v>
      </c>
      <c r="C151" s="548" t="s">
        <v>1055</v>
      </c>
    </row>
    <row r="152" spans="1:3" x14ac:dyDescent="0.3">
      <c r="A152" s="560">
        <v>141</v>
      </c>
      <c r="B152" s="548" t="s">
        <v>1056</v>
      </c>
      <c r="C152" s="548" t="s">
        <v>1055</v>
      </c>
    </row>
    <row r="153" spans="1:3" x14ac:dyDescent="0.3">
      <c r="A153" s="560">
        <v>142</v>
      </c>
      <c r="B153" s="548" t="s">
        <v>1057</v>
      </c>
      <c r="C153" s="548" t="s">
        <v>607</v>
      </c>
    </row>
    <row r="154" spans="1:3" x14ac:dyDescent="0.3">
      <c r="A154" s="560">
        <v>143</v>
      </c>
      <c r="B154" s="548" t="s">
        <v>1058</v>
      </c>
      <c r="C154" s="548" t="s">
        <v>1059</v>
      </c>
    </row>
    <row r="155" spans="1:3" x14ac:dyDescent="0.3">
      <c r="A155" s="560">
        <v>144</v>
      </c>
      <c r="B155" s="548" t="s">
        <v>1060</v>
      </c>
      <c r="C155" s="548" t="s">
        <v>814</v>
      </c>
    </row>
    <row r="156" spans="1:3" x14ac:dyDescent="0.3">
      <c r="A156" s="560">
        <v>145</v>
      </c>
      <c r="B156" s="548" t="s">
        <v>1061</v>
      </c>
      <c r="C156" s="548" t="s">
        <v>1062</v>
      </c>
    </row>
    <row r="157" spans="1:3" x14ac:dyDescent="0.3">
      <c r="A157" s="560">
        <v>146</v>
      </c>
      <c r="B157" s="548" t="s">
        <v>1063</v>
      </c>
      <c r="C157" s="548" t="s">
        <v>1064</v>
      </c>
    </row>
    <row r="158" spans="1:3" x14ac:dyDescent="0.3">
      <c r="A158" s="560"/>
      <c r="B158" s="548" t="s">
        <v>1065</v>
      </c>
      <c r="C158" s="548" t="s">
        <v>1066</v>
      </c>
    </row>
    <row r="159" spans="1:3" x14ac:dyDescent="0.3">
      <c r="A159" s="560">
        <v>147</v>
      </c>
      <c r="B159" s="548" t="s">
        <v>816</v>
      </c>
      <c r="C159" s="548" t="s">
        <v>817</v>
      </c>
    </row>
    <row r="160" spans="1:3" x14ac:dyDescent="0.3">
      <c r="A160" s="560">
        <v>148</v>
      </c>
      <c r="B160" s="548" t="s">
        <v>819</v>
      </c>
      <c r="C160" s="548" t="s">
        <v>606</v>
      </c>
    </row>
    <row r="161" spans="1:3" x14ac:dyDescent="0.3">
      <c r="A161" s="560">
        <v>149</v>
      </c>
      <c r="B161" s="548" t="s">
        <v>1067</v>
      </c>
      <c r="C161" s="548" t="s">
        <v>818</v>
      </c>
    </row>
    <row r="162" spans="1:3" x14ac:dyDescent="0.3">
      <c r="A162" s="560">
        <v>150</v>
      </c>
      <c r="B162" s="548" t="s">
        <v>1068</v>
      </c>
      <c r="C162" s="548" t="s">
        <v>863</v>
      </c>
    </row>
    <row r="163" spans="1:3" x14ac:dyDescent="0.3">
      <c r="A163" s="560">
        <v>151</v>
      </c>
      <c r="B163" s="548" t="s">
        <v>1069</v>
      </c>
      <c r="C163" s="548" t="s">
        <v>1070</v>
      </c>
    </row>
    <row r="164" spans="1:3" x14ac:dyDescent="0.3">
      <c r="A164" s="560">
        <v>152</v>
      </c>
      <c r="B164" s="548" t="s">
        <v>1071</v>
      </c>
      <c r="C164" s="548" t="s">
        <v>610</v>
      </c>
    </row>
    <row r="165" spans="1:3" x14ac:dyDescent="0.3">
      <c r="A165" s="560">
        <v>153</v>
      </c>
      <c r="B165" s="548" t="s">
        <v>1072</v>
      </c>
      <c r="C165" s="548" t="s">
        <v>1073</v>
      </c>
    </row>
    <row r="166" spans="1:3" x14ac:dyDescent="0.3">
      <c r="A166" s="560">
        <v>154</v>
      </c>
      <c r="B166" s="548" t="s">
        <v>1074</v>
      </c>
      <c r="C166" s="548" t="s">
        <v>1075</v>
      </c>
    </row>
    <row r="167" spans="1:3" x14ac:dyDescent="0.3">
      <c r="A167" s="560">
        <v>155</v>
      </c>
      <c r="B167" s="548" t="s">
        <v>612</v>
      </c>
      <c r="C167" s="548" t="s">
        <v>613</v>
      </c>
    </row>
    <row r="168" spans="1:3" x14ac:dyDescent="0.3">
      <c r="A168" s="560">
        <v>156</v>
      </c>
      <c r="B168" s="555" t="s">
        <v>1076</v>
      </c>
      <c r="C168" s="548" t="s">
        <v>820</v>
      </c>
    </row>
    <row r="169" spans="1:3" ht="26.4" x14ac:dyDescent="0.3">
      <c r="A169" s="560">
        <v>157</v>
      </c>
      <c r="B169" s="548" t="s">
        <v>1077</v>
      </c>
      <c r="C169" s="548" t="s">
        <v>1078</v>
      </c>
    </row>
    <row r="170" spans="1:3" x14ac:dyDescent="0.3">
      <c r="A170" s="560">
        <v>158</v>
      </c>
      <c r="B170" s="548" t="s">
        <v>821</v>
      </c>
      <c r="C170" s="548" t="s">
        <v>822</v>
      </c>
    </row>
    <row r="171" spans="1:3" x14ac:dyDescent="0.3">
      <c r="A171" s="560">
        <v>159</v>
      </c>
      <c r="B171" s="548" t="s">
        <v>1079</v>
      </c>
      <c r="C171" s="548" t="s">
        <v>1080</v>
      </c>
    </row>
    <row r="172" spans="1:3" x14ac:dyDescent="0.3">
      <c r="A172" s="560">
        <v>160</v>
      </c>
      <c r="B172" s="548" t="s">
        <v>1081</v>
      </c>
      <c r="C172" s="548" t="s">
        <v>1082</v>
      </c>
    </row>
    <row r="173" spans="1:3" x14ac:dyDescent="0.3">
      <c r="A173" s="560">
        <v>161</v>
      </c>
      <c r="B173" s="548" t="s">
        <v>1083</v>
      </c>
      <c r="C173" s="548" t="s">
        <v>848</v>
      </c>
    </row>
    <row r="174" spans="1:3" x14ac:dyDescent="0.3">
      <c r="A174" s="560">
        <v>162</v>
      </c>
      <c r="B174" s="548" t="s">
        <v>1084</v>
      </c>
      <c r="C174" s="548" t="s">
        <v>1085</v>
      </c>
    </row>
    <row r="175" spans="1:3" x14ac:dyDescent="0.3">
      <c r="A175" s="560">
        <v>163</v>
      </c>
      <c r="B175" s="548" t="s">
        <v>1086</v>
      </c>
      <c r="C175" s="548" t="s">
        <v>824</v>
      </c>
    </row>
    <row r="176" spans="1:3" x14ac:dyDescent="0.3">
      <c r="A176" s="560">
        <v>164</v>
      </c>
      <c r="B176" s="548" t="s">
        <v>1087</v>
      </c>
      <c r="C176" s="548" t="s">
        <v>1088</v>
      </c>
    </row>
    <row r="177" spans="1:3" x14ac:dyDescent="0.3">
      <c r="A177" s="560">
        <v>165</v>
      </c>
      <c r="B177" s="548" t="s">
        <v>1089</v>
      </c>
      <c r="C177" s="548" t="s">
        <v>1090</v>
      </c>
    </row>
    <row r="178" spans="1:3" x14ac:dyDescent="0.3">
      <c r="A178" s="560">
        <v>166</v>
      </c>
      <c r="B178" s="548" t="s">
        <v>1091</v>
      </c>
      <c r="C178" s="548" t="s">
        <v>1092</v>
      </c>
    </row>
    <row r="179" spans="1:3" x14ac:dyDescent="0.3">
      <c r="A179" s="560">
        <v>167</v>
      </c>
      <c r="B179" s="548" t="s">
        <v>1093</v>
      </c>
      <c r="C179" s="552" t="s">
        <v>1094</v>
      </c>
    </row>
    <row r="180" spans="1:3" x14ac:dyDescent="0.3">
      <c r="A180" s="560">
        <v>168</v>
      </c>
      <c r="B180" s="548" t="s">
        <v>1095</v>
      </c>
      <c r="C180" s="552" t="s">
        <v>1096</v>
      </c>
    </row>
    <row r="181" spans="1:3" x14ac:dyDescent="0.3">
      <c r="A181" s="560">
        <v>169</v>
      </c>
      <c r="B181" s="548" t="s">
        <v>1097</v>
      </c>
      <c r="C181" s="548" t="s">
        <v>1098</v>
      </c>
    </row>
    <row r="182" spans="1:3" x14ac:dyDescent="0.3">
      <c r="A182" s="560">
        <v>170</v>
      </c>
      <c r="B182" s="548" t="s">
        <v>619</v>
      </c>
      <c r="C182" s="548" t="s">
        <v>620</v>
      </c>
    </row>
    <row r="183" spans="1:3" x14ac:dyDescent="0.3">
      <c r="A183" s="560">
        <v>171</v>
      </c>
      <c r="B183" s="548" t="s">
        <v>1099</v>
      </c>
      <c r="C183" s="548" t="s">
        <v>1100</v>
      </c>
    </row>
    <row r="184" spans="1:3" x14ac:dyDescent="0.3">
      <c r="A184" s="560">
        <v>172</v>
      </c>
      <c r="B184" s="548" t="s">
        <v>1101</v>
      </c>
      <c r="C184" s="548" t="s">
        <v>1100</v>
      </c>
    </row>
    <row r="185" spans="1:3" x14ac:dyDescent="0.3">
      <c r="A185" s="560">
        <v>173</v>
      </c>
      <c r="B185" s="552" t="s">
        <v>1102</v>
      </c>
      <c r="C185" s="548" t="s">
        <v>1103</v>
      </c>
    </row>
    <row r="186" spans="1:3" x14ac:dyDescent="0.3">
      <c r="A186" s="560">
        <v>174</v>
      </c>
      <c r="B186" s="548" t="s">
        <v>1104</v>
      </c>
      <c r="C186" s="548" t="s">
        <v>623</v>
      </c>
    </row>
    <row r="187" spans="1:3" x14ac:dyDescent="0.3">
      <c r="A187" s="560">
        <v>175</v>
      </c>
      <c r="B187" s="548" t="s">
        <v>1105</v>
      </c>
      <c r="C187" s="548" t="s">
        <v>1106</v>
      </c>
    </row>
    <row r="188" spans="1:3" x14ac:dyDescent="0.3">
      <c r="A188" s="560">
        <v>176</v>
      </c>
      <c r="B188" s="548" t="s">
        <v>1107</v>
      </c>
      <c r="C188" s="548" t="s">
        <v>615</v>
      </c>
    </row>
    <row r="189" spans="1:3" x14ac:dyDescent="0.3">
      <c r="A189" s="560">
        <v>177</v>
      </c>
      <c r="B189" s="548" t="s">
        <v>1108</v>
      </c>
      <c r="C189" s="548" t="s">
        <v>1109</v>
      </c>
    </row>
    <row r="190" spans="1:3" x14ac:dyDescent="0.3">
      <c r="A190" s="560">
        <v>178</v>
      </c>
      <c r="B190" s="548" t="s">
        <v>578</v>
      </c>
      <c r="C190" s="548" t="s">
        <v>1110</v>
      </c>
    </row>
    <row r="191" spans="1:3" x14ac:dyDescent="0.3">
      <c r="A191" s="560">
        <v>179</v>
      </c>
      <c r="B191" s="548" t="s">
        <v>1111</v>
      </c>
      <c r="C191" s="548" t="s">
        <v>1112</v>
      </c>
    </row>
    <row r="192" spans="1:3" x14ac:dyDescent="0.3">
      <c r="A192" s="560">
        <v>180</v>
      </c>
      <c r="B192" s="548" t="s">
        <v>825</v>
      </c>
      <c r="C192" s="548" t="s">
        <v>624</v>
      </c>
    </row>
    <row r="193" spans="1:3" x14ac:dyDescent="0.3">
      <c r="A193" s="560">
        <v>181</v>
      </c>
      <c r="B193" s="548" t="s">
        <v>614</v>
      </c>
      <c r="C193" s="548" t="s">
        <v>1113</v>
      </c>
    </row>
    <row r="194" spans="1:3" x14ac:dyDescent="0.3">
      <c r="A194" s="560">
        <v>182</v>
      </c>
      <c r="B194" s="548" t="s">
        <v>1114</v>
      </c>
      <c r="C194" s="548" t="s">
        <v>1115</v>
      </c>
    </row>
    <row r="195" spans="1:3" x14ac:dyDescent="0.3">
      <c r="A195" s="560">
        <v>183</v>
      </c>
      <c r="B195" s="548" t="s">
        <v>1116</v>
      </c>
      <c r="C195" s="548" t="s">
        <v>1117</v>
      </c>
    </row>
    <row r="196" spans="1:3" x14ac:dyDescent="0.3">
      <c r="A196" s="560">
        <v>184</v>
      </c>
      <c r="B196" s="548" t="s">
        <v>1118</v>
      </c>
      <c r="C196" s="548" t="s">
        <v>616</v>
      </c>
    </row>
    <row r="197" spans="1:3" x14ac:dyDescent="0.3">
      <c r="A197" s="560">
        <v>185</v>
      </c>
      <c r="B197" s="548" t="s">
        <v>1119</v>
      </c>
      <c r="C197" s="548" t="s">
        <v>823</v>
      </c>
    </row>
    <row r="198" spans="1:3" x14ac:dyDescent="0.3">
      <c r="A198" s="560">
        <v>186</v>
      </c>
      <c r="B198" s="548" t="s">
        <v>1120</v>
      </c>
      <c r="C198" s="548" t="s">
        <v>1121</v>
      </c>
    </row>
    <row r="199" spans="1:3" x14ac:dyDescent="0.3">
      <c r="A199" s="560">
        <v>187</v>
      </c>
      <c r="B199" s="548" t="s">
        <v>1122</v>
      </c>
      <c r="C199" s="548" t="s">
        <v>1123</v>
      </c>
    </row>
    <row r="200" spans="1:3" x14ac:dyDescent="0.3">
      <c r="A200" s="560">
        <v>188</v>
      </c>
      <c r="B200" s="548" t="s">
        <v>1124</v>
      </c>
      <c r="C200" s="548" t="s">
        <v>617</v>
      </c>
    </row>
    <row r="201" spans="1:3" x14ac:dyDescent="0.3">
      <c r="A201" s="560">
        <v>189</v>
      </c>
      <c r="B201" s="548" t="s">
        <v>1125</v>
      </c>
      <c r="C201" s="548" t="s">
        <v>1126</v>
      </c>
    </row>
    <row r="202" spans="1:3" x14ac:dyDescent="0.3">
      <c r="A202" s="560">
        <v>190</v>
      </c>
      <c r="B202" s="548" t="s">
        <v>1127</v>
      </c>
      <c r="C202" s="548" t="s">
        <v>1128</v>
      </c>
    </row>
    <row r="203" spans="1:3" x14ac:dyDescent="0.3">
      <c r="A203" s="560">
        <v>191</v>
      </c>
      <c r="B203" s="548" t="s">
        <v>1129</v>
      </c>
      <c r="C203" s="548" t="s">
        <v>622</v>
      </c>
    </row>
    <row r="204" spans="1:3" ht="26.4" x14ac:dyDescent="0.3">
      <c r="A204" s="560">
        <v>192</v>
      </c>
      <c r="B204" s="548" t="s">
        <v>1130</v>
      </c>
      <c r="C204" s="548" t="s">
        <v>1131</v>
      </c>
    </row>
    <row r="205" spans="1:3" ht="26.4" x14ac:dyDescent="0.3">
      <c r="A205" s="560">
        <v>193</v>
      </c>
      <c r="B205" s="548" t="s">
        <v>1132</v>
      </c>
      <c r="C205" s="548" t="s">
        <v>1133</v>
      </c>
    </row>
    <row r="206" spans="1:3" x14ac:dyDescent="0.3">
      <c r="A206" s="560">
        <v>194</v>
      </c>
      <c r="B206" s="548" t="s">
        <v>1134</v>
      </c>
      <c r="C206" s="548" t="s">
        <v>618</v>
      </c>
    </row>
    <row r="207" spans="1:3" x14ac:dyDescent="0.3">
      <c r="A207" s="560">
        <v>195</v>
      </c>
      <c r="B207" s="548" t="s">
        <v>1135</v>
      </c>
      <c r="C207" s="548" t="s">
        <v>1136</v>
      </c>
    </row>
    <row r="208" spans="1:3" x14ac:dyDescent="0.3">
      <c r="A208" s="560">
        <v>196</v>
      </c>
      <c r="B208" s="552" t="s">
        <v>1137</v>
      </c>
      <c r="C208" s="548" t="s">
        <v>1138</v>
      </c>
    </row>
    <row r="209" spans="1:3" x14ac:dyDescent="0.3">
      <c r="A209" s="560">
        <v>197</v>
      </c>
      <c r="B209" s="552" t="s">
        <v>1139</v>
      </c>
      <c r="C209" s="548" t="s">
        <v>1140</v>
      </c>
    </row>
    <row r="210" spans="1:3" x14ac:dyDescent="0.3">
      <c r="A210" s="560">
        <v>198</v>
      </c>
      <c r="B210" s="548" t="s">
        <v>1141</v>
      </c>
      <c r="C210" s="548" t="s">
        <v>1142</v>
      </c>
    </row>
    <row r="211" spans="1:3" x14ac:dyDescent="0.3">
      <c r="A211" s="560">
        <v>199</v>
      </c>
      <c r="B211" s="548" t="s">
        <v>1143</v>
      </c>
      <c r="C211" s="548" t="s">
        <v>1144</v>
      </c>
    </row>
    <row r="212" spans="1:3" x14ac:dyDescent="0.3">
      <c r="A212" s="560">
        <v>200</v>
      </c>
      <c r="B212" s="548" t="s">
        <v>434</v>
      </c>
      <c r="C212" s="548" t="s">
        <v>1145</v>
      </c>
    </row>
    <row r="213" spans="1:3" x14ac:dyDescent="0.3">
      <c r="A213" s="560">
        <v>201</v>
      </c>
      <c r="B213" s="548" t="s">
        <v>1146</v>
      </c>
      <c r="C213" s="548" t="s">
        <v>1147</v>
      </c>
    </row>
    <row r="214" spans="1:3" x14ac:dyDescent="0.3">
      <c r="A214" s="560">
        <v>202</v>
      </c>
      <c r="B214" s="548" t="s">
        <v>1148</v>
      </c>
      <c r="C214" s="548" t="s">
        <v>1149</v>
      </c>
    </row>
    <row r="215" spans="1:3" x14ac:dyDescent="0.3">
      <c r="A215" s="560">
        <v>203</v>
      </c>
      <c r="B215" s="548" t="s">
        <v>1150</v>
      </c>
      <c r="C215" s="552" t="s">
        <v>827</v>
      </c>
    </row>
    <row r="216" spans="1:3" x14ac:dyDescent="0.3">
      <c r="A216" s="560">
        <v>204</v>
      </c>
      <c r="B216" s="548" t="s">
        <v>1151</v>
      </c>
      <c r="C216" s="548" t="s">
        <v>1152</v>
      </c>
    </row>
    <row r="217" spans="1:3" x14ac:dyDescent="0.3">
      <c r="A217" s="560">
        <v>205</v>
      </c>
      <c r="B217" s="548" t="s">
        <v>633</v>
      </c>
      <c r="C217" s="548" t="s">
        <v>1153</v>
      </c>
    </row>
    <row r="218" spans="1:3" x14ac:dyDescent="0.3">
      <c r="A218" s="560">
        <v>206</v>
      </c>
      <c r="B218" s="548" t="s">
        <v>1154</v>
      </c>
      <c r="C218" s="548" t="s">
        <v>1155</v>
      </c>
    </row>
    <row r="219" spans="1:3" x14ac:dyDescent="0.3">
      <c r="A219" s="560">
        <v>207</v>
      </c>
      <c r="B219" s="548" t="s">
        <v>634</v>
      </c>
      <c r="C219" s="548" t="s">
        <v>635</v>
      </c>
    </row>
    <row r="220" spans="1:3" x14ac:dyDescent="0.3">
      <c r="A220" s="560">
        <v>208</v>
      </c>
      <c r="B220" s="548" t="s">
        <v>1156</v>
      </c>
      <c r="C220" s="548" t="s">
        <v>1157</v>
      </c>
    </row>
    <row r="221" spans="1:3" x14ac:dyDescent="0.3">
      <c r="A221" s="560">
        <v>209</v>
      </c>
      <c r="B221" s="548" t="s">
        <v>1158</v>
      </c>
      <c r="C221" s="548" t="s">
        <v>1159</v>
      </c>
    </row>
    <row r="222" spans="1:3" ht="26.4" x14ac:dyDescent="0.3">
      <c r="A222" s="560">
        <v>210</v>
      </c>
      <c r="B222" s="548" t="s">
        <v>1160</v>
      </c>
      <c r="C222" s="548" t="s">
        <v>1161</v>
      </c>
    </row>
    <row r="223" spans="1:3" ht="26.4" x14ac:dyDescent="0.3">
      <c r="A223" s="560">
        <v>211</v>
      </c>
      <c r="B223" s="548" t="s">
        <v>629</v>
      </c>
      <c r="C223" s="548" t="s">
        <v>1161</v>
      </c>
    </row>
    <row r="224" spans="1:3" x14ac:dyDescent="0.3">
      <c r="A224" s="560">
        <v>212</v>
      </c>
      <c r="B224" s="548" t="s">
        <v>828</v>
      </c>
      <c r="C224" s="548" t="s">
        <v>829</v>
      </c>
    </row>
    <row r="225" spans="1:3" x14ac:dyDescent="0.3">
      <c r="A225" s="560">
        <v>213</v>
      </c>
      <c r="B225" s="548" t="s">
        <v>1162</v>
      </c>
      <c r="C225" s="548" t="s">
        <v>1163</v>
      </c>
    </row>
    <row r="226" spans="1:3" x14ac:dyDescent="0.3">
      <c r="A226" s="560">
        <v>214</v>
      </c>
      <c r="B226" s="548" t="s">
        <v>625</v>
      </c>
      <c r="C226" s="548" t="s">
        <v>626</v>
      </c>
    </row>
    <row r="227" spans="1:3" x14ac:dyDescent="0.3">
      <c r="A227" s="560">
        <v>215</v>
      </c>
      <c r="B227" s="548" t="s">
        <v>1164</v>
      </c>
      <c r="C227" s="548" t="s">
        <v>631</v>
      </c>
    </row>
    <row r="228" spans="1:3" x14ac:dyDescent="0.3">
      <c r="A228" s="560">
        <v>216</v>
      </c>
      <c r="B228" s="548" t="s">
        <v>1165</v>
      </c>
      <c r="C228" s="548" t="s">
        <v>826</v>
      </c>
    </row>
    <row r="229" spans="1:3" x14ac:dyDescent="0.3">
      <c r="A229" s="560">
        <v>217</v>
      </c>
      <c r="B229" s="548" t="s">
        <v>1166</v>
      </c>
      <c r="C229" s="548" t="s">
        <v>630</v>
      </c>
    </row>
    <row r="230" spans="1:3" x14ac:dyDescent="0.3">
      <c r="A230" s="560">
        <v>218</v>
      </c>
      <c r="B230" s="548" t="s">
        <v>1167</v>
      </c>
      <c r="C230" s="548" t="s">
        <v>1168</v>
      </c>
    </row>
    <row r="231" spans="1:3" x14ac:dyDescent="0.3">
      <c r="A231" s="560">
        <v>219</v>
      </c>
      <c r="B231" s="548" t="s">
        <v>1169</v>
      </c>
      <c r="C231" s="548" t="s">
        <v>1170</v>
      </c>
    </row>
    <row r="232" spans="1:3" x14ac:dyDescent="0.3">
      <c r="A232" s="560"/>
      <c r="B232" s="548" t="s">
        <v>1171</v>
      </c>
      <c r="C232" s="548" t="s">
        <v>1172</v>
      </c>
    </row>
    <row r="233" spans="1:3" x14ac:dyDescent="0.3">
      <c r="A233" s="560">
        <v>220</v>
      </c>
      <c r="B233" s="548" t="s">
        <v>1173</v>
      </c>
      <c r="C233" s="548" t="s">
        <v>1174</v>
      </c>
    </row>
    <row r="234" spans="1:3" x14ac:dyDescent="0.3">
      <c r="A234" s="560">
        <v>221</v>
      </c>
      <c r="B234" s="548" t="s">
        <v>1175</v>
      </c>
      <c r="C234" s="548" t="s">
        <v>1176</v>
      </c>
    </row>
    <row r="235" spans="1:3" x14ac:dyDescent="0.3">
      <c r="A235" s="560"/>
      <c r="B235" s="548" t="s">
        <v>1177</v>
      </c>
      <c r="C235" s="548" t="s">
        <v>1178</v>
      </c>
    </row>
    <row r="236" spans="1:3" x14ac:dyDescent="0.3">
      <c r="A236" s="560">
        <v>222</v>
      </c>
      <c r="B236" s="548" t="s">
        <v>1179</v>
      </c>
      <c r="C236" s="548" t="s">
        <v>1180</v>
      </c>
    </row>
    <row r="237" spans="1:3" x14ac:dyDescent="0.3">
      <c r="A237" s="560">
        <v>223</v>
      </c>
      <c r="B237" s="550" t="s">
        <v>627</v>
      </c>
      <c r="C237" s="550" t="s">
        <v>628</v>
      </c>
    </row>
    <row r="238" spans="1:3" x14ac:dyDescent="0.3">
      <c r="A238" s="560">
        <v>224</v>
      </c>
      <c r="B238" s="548" t="s">
        <v>1181</v>
      </c>
      <c r="C238" s="548" t="s">
        <v>632</v>
      </c>
    </row>
    <row r="239" spans="1:3" x14ac:dyDescent="0.3">
      <c r="A239" s="560">
        <v>225</v>
      </c>
      <c r="B239" s="548" t="s">
        <v>1182</v>
      </c>
      <c r="C239" s="548" t="s">
        <v>1183</v>
      </c>
    </row>
    <row r="240" spans="1:3" x14ac:dyDescent="0.3">
      <c r="A240" s="560">
        <v>226</v>
      </c>
      <c r="B240" s="548" t="s">
        <v>1184</v>
      </c>
      <c r="C240" s="548" t="s">
        <v>1185</v>
      </c>
    </row>
    <row r="241" spans="1:3" ht="26.4" x14ac:dyDescent="0.3">
      <c r="A241" s="560">
        <v>227</v>
      </c>
      <c r="B241" s="548" t="s">
        <v>638</v>
      </c>
      <c r="C241" s="548" t="s">
        <v>639</v>
      </c>
    </row>
    <row r="242" spans="1:3" x14ac:dyDescent="0.3">
      <c r="A242" s="560">
        <v>228</v>
      </c>
      <c r="B242" s="548" t="s">
        <v>636</v>
      </c>
      <c r="C242" s="548" t="s">
        <v>637</v>
      </c>
    </row>
    <row r="243" spans="1:3" x14ac:dyDescent="0.3">
      <c r="A243" s="560">
        <v>229</v>
      </c>
      <c r="B243" s="548" t="s">
        <v>1186</v>
      </c>
      <c r="C243" s="548" t="s">
        <v>577</v>
      </c>
    </row>
    <row r="244" spans="1:3" x14ac:dyDescent="0.3">
      <c r="A244" s="560"/>
      <c r="B244" s="548" t="s">
        <v>1187</v>
      </c>
      <c r="C244" s="548" t="s">
        <v>1188</v>
      </c>
    </row>
    <row r="245" spans="1:3" ht="26.4" x14ac:dyDescent="0.3">
      <c r="A245" s="560">
        <v>230</v>
      </c>
      <c r="B245" s="548" t="s">
        <v>1189</v>
      </c>
      <c r="C245" s="548" t="s">
        <v>1190</v>
      </c>
    </row>
    <row r="246" spans="1:3" x14ac:dyDescent="0.3">
      <c r="A246" s="560">
        <v>231</v>
      </c>
      <c r="B246" s="548" t="s">
        <v>646</v>
      </c>
      <c r="C246" s="548" t="s">
        <v>647</v>
      </c>
    </row>
    <row r="247" spans="1:3" x14ac:dyDescent="0.3">
      <c r="A247" s="560">
        <v>232</v>
      </c>
      <c r="B247" s="548" t="s">
        <v>641</v>
      </c>
      <c r="C247" s="548" t="s">
        <v>640</v>
      </c>
    </row>
    <row r="248" spans="1:3" x14ac:dyDescent="0.3">
      <c r="A248" s="560">
        <v>233</v>
      </c>
      <c r="B248" s="548" t="s">
        <v>1191</v>
      </c>
      <c r="C248" s="548" t="s">
        <v>1192</v>
      </c>
    </row>
    <row r="249" spans="1:3" x14ac:dyDescent="0.3">
      <c r="A249" s="560">
        <v>234</v>
      </c>
      <c r="B249" s="548" t="s">
        <v>645</v>
      </c>
      <c r="C249" s="548" t="s">
        <v>1193</v>
      </c>
    </row>
    <row r="250" spans="1:3" x14ac:dyDescent="0.3">
      <c r="A250" s="560">
        <v>235</v>
      </c>
      <c r="B250" s="548" t="s">
        <v>643</v>
      </c>
      <c r="C250" s="548" t="s">
        <v>644</v>
      </c>
    </row>
    <row r="251" spans="1:3" x14ac:dyDescent="0.3">
      <c r="A251" s="560">
        <v>236</v>
      </c>
      <c r="B251" s="548" t="s">
        <v>1194</v>
      </c>
      <c r="C251" s="548" t="s">
        <v>570</v>
      </c>
    </row>
    <row r="252" spans="1:3" x14ac:dyDescent="0.3">
      <c r="A252" s="560">
        <v>237</v>
      </c>
      <c r="B252" s="548" t="s">
        <v>1195</v>
      </c>
      <c r="C252" s="548" t="s">
        <v>1196</v>
      </c>
    </row>
    <row r="253" spans="1:3" x14ac:dyDescent="0.3">
      <c r="A253" s="560">
        <v>238</v>
      </c>
      <c r="B253" s="548" t="s">
        <v>1197</v>
      </c>
      <c r="C253" s="548" t="s">
        <v>642</v>
      </c>
    </row>
    <row r="254" spans="1:3" x14ac:dyDescent="0.3">
      <c r="A254" s="560">
        <v>239</v>
      </c>
      <c r="B254" s="548" t="s">
        <v>1198</v>
      </c>
      <c r="C254" s="548" t="s">
        <v>1196</v>
      </c>
    </row>
    <row r="255" spans="1:3" x14ac:dyDescent="0.3">
      <c r="A255" s="560">
        <v>240</v>
      </c>
      <c r="B255" s="548" t="s">
        <v>1199</v>
      </c>
      <c r="C255" s="548" t="s">
        <v>863</v>
      </c>
    </row>
    <row r="256" spans="1:3" x14ac:dyDescent="0.3">
      <c r="A256" s="560">
        <v>241</v>
      </c>
      <c r="B256" s="548" t="s">
        <v>648</v>
      </c>
      <c r="C256" s="548" t="s">
        <v>649</v>
      </c>
    </row>
    <row r="257" spans="1:3" x14ac:dyDescent="0.3">
      <c r="A257" s="560">
        <v>242</v>
      </c>
      <c r="B257" s="548" t="s">
        <v>1200</v>
      </c>
      <c r="C257" s="548" t="s">
        <v>1201</v>
      </c>
    </row>
    <row r="258" spans="1:3" x14ac:dyDescent="0.3">
      <c r="A258" s="560">
        <v>243</v>
      </c>
      <c r="B258" s="548" t="s">
        <v>1202</v>
      </c>
      <c r="C258" s="548" t="s">
        <v>1203</v>
      </c>
    </row>
    <row r="259" spans="1:3" x14ac:dyDescent="0.3">
      <c r="A259" s="560">
        <v>244</v>
      </c>
      <c r="B259" s="548" t="s">
        <v>1204</v>
      </c>
      <c r="C259" s="548" t="s">
        <v>1205</v>
      </c>
    </row>
    <row r="260" spans="1:3" ht="26.4" x14ac:dyDescent="0.3">
      <c r="A260" s="560">
        <v>245</v>
      </c>
      <c r="B260" s="548" t="s">
        <v>650</v>
      </c>
      <c r="C260" s="548" t="s">
        <v>651</v>
      </c>
    </row>
    <row r="261" spans="1:3" x14ac:dyDescent="0.3">
      <c r="A261" s="560">
        <v>246</v>
      </c>
      <c r="B261" s="552" t="s">
        <v>1206</v>
      </c>
      <c r="C261" s="548" t="s">
        <v>1207</v>
      </c>
    </row>
    <row r="262" spans="1:3" x14ac:dyDescent="0.3">
      <c r="A262" s="560">
        <v>247</v>
      </c>
      <c r="B262" s="548" t="s">
        <v>654</v>
      </c>
      <c r="C262" s="548" t="s">
        <v>655</v>
      </c>
    </row>
    <row r="263" spans="1:3" x14ac:dyDescent="0.3">
      <c r="A263" s="560">
        <v>248</v>
      </c>
      <c r="B263" s="552" t="s">
        <v>652</v>
      </c>
      <c r="C263" s="548" t="s">
        <v>653</v>
      </c>
    </row>
    <row r="264" spans="1:3" x14ac:dyDescent="0.3">
      <c r="A264" s="560">
        <v>249</v>
      </c>
      <c r="B264" s="552" t="s">
        <v>1208</v>
      </c>
      <c r="C264" s="548" t="s">
        <v>838</v>
      </c>
    </row>
    <row r="265" spans="1:3" x14ac:dyDescent="0.3">
      <c r="A265" s="560">
        <v>250</v>
      </c>
      <c r="B265" s="552" t="s">
        <v>1209</v>
      </c>
      <c r="C265" s="548" t="s">
        <v>656</v>
      </c>
    </row>
    <row r="266" spans="1:3" x14ac:dyDescent="0.3">
      <c r="A266" s="560">
        <v>251</v>
      </c>
      <c r="B266" s="552" t="s">
        <v>1210</v>
      </c>
      <c r="C266" s="548" t="s">
        <v>1211</v>
      </c>
    </row>
    <row r="267" spans="1:3" x14ac:dyDescent="0.3">
      <c r="A267" s="560">
        <v>252</v>
      </c>
      <c r="B267" s="552" t="s">
        <v>1212</v>
      </c>
      <c r="C267" s="548" t="s">
        <v>657</v>
      </c>
    </row>
    <row r="268" spans="1:3" x14ac:dyDescent="0.3">
      <c r="A268" s="560">
        <v>253</v>
      </c>
      <c r="B268" s="552" t="s">
        <v>1213</v>
      </c>
      <c r="C268" s="548" t="s">
        <v>659</v>
      </c>
    </row>
    <row r="269" spans="1:3" x14ac:dyDescent="0.3">
      <c r="A269" s="560">
        <v>254</v>
      </c>
      <c r="B269" s="552" t="s">
        <v>658</v>
      </c>
      <c r="C269" s="548" t="s">
        <v>1214</v>
      </c>
    </row>
    <row r="270" spans="1:3" x14ac:dyDescent="0.3">
      <c r="A270" s="560">
        <v>255</v>
      </c>
      <c r="B270" s="552" t="s">
        <v>1215</v>
      </c>
      <c r="C270" s="548" t="s">
        <v>1216</v>
      </c>
    </row>
    <row r="271" spans="1:3" x14ac:dyDescent="0.3">
      <c r="A271" s="560">
        <v>256</v>
      </c>
      <c r="B271" s="552" t="s">
        <v>1217</v>
      </c>
      <c r="C271" s="548" t="s">
        <v>1218</v>
      </c>
    </row>
    <row r="272" spans="1:3" x14ac:dyDescent="0.3">
      <c r="A272" s="560"/>
      <c r="B272" s="556" t="s">
        <v>1219</v>
      </c>
      <c r="C272" s="548" t="s">
        <v>1220</v>
      </c>
    </row>
    <row r="273" spans="1:3" ht="26.4" x14ac:dyDescent="0.3">
      <c r="A273" s="560">
        <v>257</v>
      </c>
      <c r="B273" s="215" t="s">
        <v>1221</v>
      </c>
      <c r="C273" s="548" t="s">
        <v>1222</v>
      </c>
    </row>
    <row r="274" spans="1:3" x14ac:dyDescent="0.3">
      <c r="A274" s="560">
        <v>258</v>
      </c>
      <c r="B274" s="552" t="s">
        <v>1223</v>
      </c>
      <c r="C274" s="548" t="s">
        <v>1224</v>
      </c>
    </row>
    <row r="275" spans="1:3" x14ac:dyDescent="0.3">
      <c r="A275" s="560">
        <v>259</v>
      </c>
      <c r="B275" s="557" t="s">
        <v>357</v>
      </c>
      <c r="C275" s="550" t="s">
        <v>1225</v>
      </c>
    </row>
    <row r="276" spans="1:3" x14ac:dyDescent="0.3">
      <c r="A276" s="560">
        <v>260</v>
      </c>
      <c r="B276" s="557" t="s">
        <v>1226</v>
      </c>
      <c r="C276" s="550" t="s">
        <v>661</v>
      </c>
    </row>
    <row r="277" spans="1:3" x14ac:dyDescent="0.3">
      <c r="A277" s="560">
        <v>261</v>
      </c>
      <c r="B277" s="552" t="s">
        <v>1227</v>
      </c>
      <c r="C277" s="548" t="s">
        <v>1228</v>
      </c>
    </row>
    <row r="278" spans="1:3" x14ac:dyDescent="0.3">
      <c r="A278" s="560">
        <v>262</v>
      </c>
      <c r="B278" s="552" t="s">
        <v>1229</v>
      </c>
      <c r="C278" s="552" t="s">
        <v>1230</v>
      </c>
    </row>
    <row r="279" spans="1:3" x14ac:dyDescent="0.3">
      <c r="A279" s="560">
        <v>263</v>
      </c>
      <c r="B279" s="552" t="s">
        <v>1231</v>
      </c>
      <c r="C279" s="548" t="s">
        <v>1232</v>
      </c>
    </row>
    <row r="280" spans="1:3" x14ac:dyDescent="0.3">
      <c r="A280" s="560">
        <v>264</v>
      </c>
      <c r="B280" s="552" t="s">
        <v>1233</v>
      </c>
      <c r="C280" s="548" t="s">
        <v>665</v>
      </c>
    </row>
    <row r="281" spans="1:3" x14ac:dyDescent="0.3">
      <c r="A281" s="560">
        <v>265</v>
      </c>
      <c r="B281" s="552" t="s">
        <v>662</v>
      </c>
      <c r="C281" s="548" t="s">
        <v>663</v>
      </c>
    </row>
    <row r="282" spans="1:3" x14ac:dyDescent="0.3">
      <c r="A282" s="560">
        <v>266</v>
      </c>
      <c r="B282" s="552" t="s">
        <v>664</v>
      </c>
      <c r="C282" s="548" t="s">
        <v>1234</v>
      </c>
    </row>
    <row r="283" spans="1:3" x14ac:dyDescent="0.3">
      <c r="A283" s="560">
        <v>267</v>
      </c>
      <c r="B283" s="552" t="s">
        <v>1235</v>
      </c>
      <c r="C283" s="549" t="s">
        <v>1236</v>
      </c>
    </row>
    <row r="284" spans="1:3" x14ac:dyDescent="0.3">
      <c r="A284" s="560">
        <v>268</v>
      </c>
      <c r="B284" s="552" t="s">
        <v>1237</v>
      </c>
      <c r="C284" s="549" t="s">
        <v>1238</v>
      </c>
    </row>
    <row r="285" spans="1:3" x14ac:dyDescent="0.3">
      <c r="A285" s="560">
        <v>269</v>
      </c>
      <c r="B285" s="548" t="s">
        <v>1239</v>
      </c>
      <c r="C285" s="548" t="s">
        <v>621</v>
      </c>
    </row>
    <row r="286" spans="1:3" x14ac:dyDescent="0.3">
      <c r="A286" s="560">
        <v>270</v>
      </c>
      <c r="B286" s="552" t="s">
        <v>1240</v>
      </c>
      <c r="C286" s="548" t="s">
        <v>666</v>
      </c>
    </row>
    <row r="287" spans="1:3" x14ac:dyDescent="0.3">
      <c r="A287" s="560">
        <v>271</v>
      </c>
      <c r="B287" s="552" t="s">
        <v>1241</v>
      </c>
      <c r="C287" s="548" t="s">
        <v>1242</v>
      </c>
    </row>
    <row r="288" spans="1:3" x14ac:dyDescent="0.3">
      <c r="A288" s="560">
        <v>272</v>
      </c>
      <c r="B288" s="552" t="s">
        <v>1243</v>
      </c>
      <c r="C288" s="548" t="s">
        <v>1244</v>
      </c>
    </row>
    <row r="289" spans="1:3" x14ac:dyDescent="0.3">
      <c r="A289" s="560">
        <v>273</v>
      </c>
      <c r="B289" s="552" t="s">
        <v>670</v>
      </c>
      <c r="C289" s="548" t="s">
        <v>671</v>
      </c>
    </row>
    <row r="290" spans="1:3" x14ac:dyDescent="0.3">
      <c r="A290" s="560">
        <v>274</v>
      </c>
      <c r="B290" s="552" t="s">
        <v>1245</v>
      </c>
      <c r="C290" s="548" t="s">
        <v>1246</v>
      </c>
    </row>
    <row r="291" spans="1:3" x14ac:dyDescent="0.3">
      <c r="A291" s="560">
        <v>275</v>
      </c>
      <c r="B291" s="552" t="s">
        <v>452</v>
      </c>
      <c r="C291" s="548" t="s">
        <v>1247</v>
      </c>
    </row>
    <row r="292" spans="1:3" x14ac:dyDescent="0.3">
      <c r="A292" s="560">
        <v>276</v>
      </c>
      <c r="B292" s="552" t="s">
        <v>1248</v>
      </c>
      <c r="C292" s="548" t="s">
        <v>1249</v>
      </c>
    </row>
    <row r="293" spans="1:3" x14ac:dyDescent="0.3">
      <c r="A293" s="560">
        <v>277</v>
      </c>
      <c r="B293" s="552" t="s">
        <v>1250</v>
      </c>
      <c r="C293" s="548" t="s">
        <v>1251</v>
      </c>
    </row>
    <row r="294" spans="1:3" x14ac:dyDescent="0.3">
      <c r="A294" s="560">
        <v>278</v>
      </c>
      <c r="B294" s="548" t="s">
        <v>1252</v>
      </c>
      <c r="C294" s="548" t="s">
        <v>667</v>
      </c>
    </row>
    <row r="295" spans="1:3" x14ac:dyDescent="0.3">
      <c r="A295" s="560">
        <v>279</v>
      </c>
      <c r="B295" s="552" t="s">
        <v>1253</v>
      </c>
      <c r="C295" s="548" t="s">
        <v>1254</v>
      </c>
    </row>
    <row r="296" spans="1:3" x14ac:dyDescent="0.3">
      <c r="A296" s="560">
        <v>280</v>
      </c>
      <c r="B296" s="552" t="s">
        <v>1255</v>
      </c>
      <c r="C296" s="548" t="s">
        <v>832</v>
      </c>
    </row>
    <row r="297" spans="1:3" x14ac:dyDescent="0.3">
      <c r="A297" s="560">
        <v>281</v>
      </c>
      <c r="B297" s="552" t="s">
        <v>1256</v>
      </c>
      <c r="C297" s="548" t="s">
        <v>1092</v>
      </c>
    </row>
    <row r="298" spans="1:3" x14ac:dyDescent="0.3">
      <c r="A298" s="560">
        <v>282</v>
      </c>
      <c r="B298" s="552" t="s">
        <v>1257</v>
      </c>
      <c r="C298" s="548" t="s">
        <v>1258</v>
      </c>
    </row>
    <row r="299" spans="1:3" x14ac:dyDescent="0.3">
      <c r="A299" s="560">
        <v>283</v>
      </c>
      <c r="B299" s="552" t="s">
        <v>830</v>
      </c>
      <c r="C299" s="548" t="s">
        <v>831</v>
      </c>
    </row>
    <row r="300" spans="1:3" x14ac:dyDescent="0.3">
      <c r="A300" s="560">
        <v>284</v>
      </c>
      <c r="B300" s="552" t="s">
        <v>1259</v>
      </c>
      <c r="C300" s="548" t="s">
        <v>1260</v>
      </c>
    </row>
    <row r="301" spans="1:3" x14ac:dyDescent="0.3">
      <c r="A301" s="560">
        <v>285</v>
      </c>
      <c r="B301" s="552" t="s">
        <v>1261</v>
      </c>
      <c r="C301" s="548" t="s">
        <v>1262</v>
      </c>
    </row>
    <row r="302" spans="1:3" x14ac:dyDescent="0.3">
      <c r="A302" s="560">
        <v>286</v>
      </c>
      <c r="B302" s="552" t="s">
        <v>1263</v>
      </c>
      <c r="C302" s="548" t="s">
        <v>1264</v>
      </c>
    </row>
    <row r="303" spans="1:3" x14ac:dyDescent="0.3">
      <c r="A303" s="560">
        <v>287</v>
      </c>
      <c r="B303" s="552" t="s">
        <v>1265</v>
      </c>
      <c r="C303" s="548" t="s">
        <v>669</v>
      </c>
    </row>
    <row r="304" spans="1:3" x14ac:dyDescent="0.3">
      <c r="A304" s="560">
        <v>288</v>
      </c>
      <c r="B304" s="552" t="s">
        <v>1266</v>
      </c>
      <c r="C304" s="548" t="s">
        <v>668</v>
      </c>
    </row>
    <row r="305" spans="1:3" x14ac:dyDescent="0.3">
      <c r="A305" s="560">
        <v>289</v>
      </c>
      <c r="B305" s="552" t="s">
        <v>1267</v>
      </c>
      <c r="C305" s="548" t="s">
        <v>1268</v>
      </c>
    </row>
    <row r="306" spans="1:3" x14ac:dyDescent="0.3">
      <c r="A306" s="560">
        <v>290</v>
      </c>
      <c r="B306" s="552" t="s">
        <v>1269</v>
      </c>
      <c r="C306" s="548" t="s">
        <v>833</v>
      </c>
    </row>
    <row r="307" spans="1:3" x14ac:dyDescent="0.3">
      <c r="A307" s="560">
        <v>291</v>
      </c>
      <c r="B307" s="548" t="s">
        <v>1270</v>
      </c>
      <c r="C307" s="550" t="s">
        <v>1271</v>
      </c>
    </row>
    <row r="308" spans="1:3" x14ac:dyDescent="0.3">
      <c r="A308" s="560">
        <v>292</v>
      </c>
      <c r="B308" s="552" t="s">
        <v>1272</v>
      </c>
      <c r="C308" s="548" t="s">
        <v>1273</v>
      </c>
    </row>
    <row r="309" spans="1:3" x14ac:dyDescent="0.3">
      <c r="A309" s="560">
        <v>293</v>
      </c>
      <c r="B309" s="552" t="s">
        <v>672</v>
      </c>
      <c r="C309" s="548" t="s">
        <v>1274</v>
      </c>
    </row>
    <row r="310" spans="1:3" x14ac:dyDescent="0.3">
      <c r="A310" s="560">
        <v>294</v>
      </c>
      <c r="B310" s="552" t="s">
        <v>1275</v>
      </c>
      <c r="C310" s="548" t="s">
        <v>673</v>
      </c>
    </row>
    <row r="311" spans="1:3" x14ac:dyDescent="0.3">
      <c r="A311" s="560">
        <v>295</v>
      </c>
      <c r="B311" s="552" t="s">
        <v>1276</v>
      </c>
      <c r="C311" s="548" t="s">
        <v>562</v>
      </c>
    </row>
    <row r="312" spans="1:3" x14ac:dyDescent="0.3">
      <c r="A312" s="560">
        <v>296</v>
      </c>
      <c r="B312" s="552" t="s">
        <v>1277</v>
      </c>
      <c r="C312" s="548" t="s">
        <v>832</v>
      </c>
    </row>
    <row r="313" spans="1:3" x14ac:dyDescent="0.3">
      <c r="A313" s="560">
        <v>297</v>
      </c>
      <c r="B313" s="552" t="s">
        <v>1278</v>
      </c>
      <c r="C313" s="548" t="s">
        <v>1279</v>
      </c>
    </row>
    <row r="314" spans="1:3" x14ac:dyDescent="0.3">
      <c r="A314" s="560">
        <v>298</v>
      </c>
      <c r="B314" s="552" t="s">
        <v>1280</v>
      </c>
      <c r="C314" s="548" t="s">
        <v>1281</v>
      </c>
    </row>
    <row r="315" spans="1:3" x14ac:dyDescent="0.3">
      <c r="A315" s="560">
        <v>299</v>
      </c>
      <c r="B315" s="552" t="s">
        <v>1282</v>
      </c>
      <c r="C315" s="548" t="s">
        <v>1283</v>
      </c>
    </row>
    <row r="316" spans="1:3" x14ac:dyDescent="0.3">
      <c r="A316" s="560">
        <v>300</v>
      </c>
      <c r="B316" s="552" t="s">
        <v>1284</v>
      </c>
      <c r="C316" s="548" t="s">
        <v>1285</v>
      </c>
    </row>
    <row r="317" spans="1:3" ht="26.4" x14ac:dyDescent="0.3">
      <c r="A317" s="560">
        <v>301</v>
      </c>
      <c r="B317" s="552" t="s">
        <v>1286</v>
      </c>
      <c r="C317" s="548" t="s">
        <v>1287</v>
      </c>
    </row>
    <row r="318" spans="1:3" x14ac:dyDescent="0.3">
      <c r="A318" s="560">
        <v>302</v>
      </c>
      <c r="B318" s="552" t="s">
        <v>1288</v>
      </c>
      <c r="C318" s="548" t="s">
        <v>1289</v>
      </c>
    </row>
    <row r="319" spans="1:3" x14ac:dyDescent="0.3">
      <c r="A319" s="560">
        <v>303</v>
      </c>
      <c r="B319" s="552" t="s">
        <v>1290</v>
      </c>
      <c r="C319" s="548" t="s">
        <v>660</v>
      </c>
    </row>
    <row r="320" spans="1:3" x14ac:dyDescent="0.3">
      <c r="A320" s="560">
        <v>304</v>
      </c>
      <c r="B320" s="552" t="s">
        <v>1291</v>
      </c>
      <c r="C320" s="548" t="s">
        <v>597</v>
      </c>
    </row>
    <row r="321" spans="1:3" x14ac:dyDescent="0.3">
      <c r="A321" s="560">
        <v>305</v>
      </c>
      <c r="B321" s="552" t="s">
        <v>1292</v>
      </c>
      <c r="C321" s="548" t="s">
        <v>834</v>
      </c>
    </row>
    <row r="322" spans="1:3" x14ac:dyDescent="0.3">
      <c r="A322" s="560">
        <v>306</v>
      </c>
      <c r="B322" s="552" t="s">
        <v>1293</v>
      </c>
      <c r="C322" s="548" t="s">
        <v>1294</v>
      </c>
    </row>
    <row r="323" spans="1:3" ht="26.4" x14ac:dyDescent="0.3">
      <c r="A323" s="560">
        <v>307</v>
      </c>
      <c r="B323" s="552" t="s">
        <v>1295</v>
      </c>
      <c r="C323" s="548" t="s">
        <v>674</v>
      </c>
    </row>
    <row r="324" spans="1:3" x14ac:dyDescent="0.3">
      <c r="A324" s="560">
        <v>308</v>
      </c>
      <c r="B324" s="552" t="s">
        <v>1296</v>
      </c>
      <c r="C324" s="548" t="s">
        <v>1297</v>
      </c>
    </row>
    <row r="325" spans="1:3" x14ac:dyDescent="0.3">
      <c r="A325" s="560">
        <v>309</v>
      </c>
      <c r="B325" s="552" t="s">
        <v>1298</v>
      </c>
      <c r="C325" s="548" t="s">
        <v>835</v>
      </c>
    </row>
    <row r="326" spans="1:3" x14ac:dyDescent="0.3">
      <c r="A326" s="560">
        <v>310</v>
      </c>
      <c r="B326" s="552" t="s">
        <v>1299</v>
      </c>
      <c r="C326" s="548" t="s">
        <v>1300</v>
      </c>
    </row>
    <row r="327" spans="1:3" x14ac:dyDescent="0.3">
      <c r="A327" s="560">
        <v>311</v>
      </c>
      <c r="B327" s="552" t="s">
        <v>1301</v>
      </c>
      <c r="C327" s="548" t="s">
        <v>1302</v>
      </c>
    </row>
    <row r="328" spans="1:3" x14ac:dyDescent="0.3">
      <c r="A328" s="560">
        <v>312</v>
      </c>
      <c r="B328" s="552" t="s">
        <v>1303</v>
      </c>
      <c r="C328" s="548" t="s">
        <v>836</v>
      </c>
    </row>
    <row r="329" spans="1:3" x14ac:dyDescent="0.3">
      <c r="A329" s="560">
        <v>313</v>
      </c>
      <c r="B329" s="552" t="s">
        <v>1304</v>
      </c>
      <c r="C329" s="548" t="s">
        <v>1305</v>
      </c>
    </row>
    <row r="330" spans="1:3" x14ac:dyDescent="0.3">
      <c r="A330" s="560">
        <v>314</v>
      </c>
      <c r="B330" s="552" t="s">
        <v>1306</v>
      </c>
      <c r="C330" s="548" t="s">
        <v>1307</v>
      </c>
    </row>
    <row r="331" spans="1:3" x14ac:dyDescent="0.3">
      <c r="A331" s="560">
        <v>315</v>
      </c>
      <c r="B331" s="552" t="s">
        <v>675</v>
      </c>
      <c r="C331" s="548" t="s">
        <v>676</v>
      </c>
    </row>
    <row r="332" spans="1:3" x14ac:dyDescent="0.3">
      <c r="A332" s="560">
        <v>316</v>
      </c>
      <c r="B332" s="552" t="s">
        <v>1308</v>
      </c>
      <c r="C332" s="548" t="s">
        <v>1309</v>
      </c>
    </row>
    <row r="333" spans="1:3" x14ac:dyDescent="0.3">
      <c r="A333" s="560">
        <v>317</v>
      </c>
      <c r="B333" s="552" t="s">
        <v>1310</v>
      </c>
      <c r="C333" s="548" t="s">
        <v>1311</v>
      </c>
    </row>
    <row r="334" spans="1:3" x14ac:dyDescent="0.3">
      <c r="A334" s="560">
        <v>318</v>
      </c>
      <c r="B334" s="552" t="s">
        <v>680</v>
      </c>
      <c r="C334" s="548" t="s">
        <v>681</v>
      </c>
    </row>
    <row r="335" spans="1:3" x14ac:dyDescent="0.3">
      <c r="A335" s="560">
        <v>319</v>
      </c>
      <c r="B335" s="548" t="s">
        <v>1312</v>
      </c>
      <c r="C335" s="548" t="s">
        <v>575</v>
      </c>
    </row>
    <row r="336" spans="1:3" x14ac:dyDescent="0.3">
      <c r="A336" s="560">
        <v>320</v>
      </c>
      <c r="B336" s="548" t="s">
        <v>1313</v>
      </c>
      <c r="C336" s="548" t="s">
        <v>1314</v>
      </c>
    </row>
    <row r="337" spans="1:3" x14ac:dyDescent="0.3">
      <c r="A337" s="560">
        <v>321</v>
      </c>
      <c r="B337" s="548" t="s">
        <v>677</v>
      </c>
      <c r="C337" s="548" t="s">
        <v>678</v>
      </c>
    </row>
    <row r="338" spans="1:3" x14ac:dyDescent="0.3">
      <c r="A338" s="560">
        <v>322</v>
      </c>
      <c r="B338" s="552" t="s">
        <v>1315</v>
      </c>
      <c r="C338" s="548" t="s">
        <v>679</v>
      </c>
    </row>
    <row r="339" spans="1:3" ht="26.4" x14ac:dyDescent="0.3">
      <c r="A339" s="560"/>
      <c r="B339" s="552" t="s">
        <v>1316</v>
      </c>
      <c r="C339" s="548" t="s">
        <v>1317</v>
      </c>
    </row>
    <row r="340" spans="1:3" x14ac:dyDescent="0.3">
      <c r="A340" s="560">
        <v>323</v>
      </c>
      <c r="B340" s="552" t="s">
        <v>1318</v>
      </c>
      <c r="C340" s="548" t="s">
        <v>693</v>
      </c>
    </row>
    <row r="341" spans="1:3" x14ac:dyDescent="0.3">
      <c r="A341" s="560">
        <v>324</v>
      </c>
      <c r="B341" s="552" t="s">
        <v>1319</v>
      </c>
      <c r="C341" s="548" t="s">
        <v>1320</v>
      </c>
    </row>
    <row r="342" spans="1:3" x14ac:dyDescent="0.3">
      <c r="A342" s="560">
        <v>325</v>
      </c>
      <c r="B342" s="552" t="s">
        <v>1321</v>
      </c>
      <c r="C342" s="548" t="s">
        <v>690</v>
      </c>
    </row>
    <row r="343" spans="1:3" x14ac:dyDescent="0.3">
      <c r="A343" s="560">
        <v>326</v>
      </c>
      <c r="B343" s="552" t="s">
        <v>689</v>
      </c>
      <c r="C343" s="548" t="s">
        <v>604</v>
      </c>
    </row>
    <row r="344" spans="1:3" x14ac:dyDescent="0.3">
      <c r="A344" s="560">
        <v>327</v>
      </c>
      <c r="B344" s="552" t="s">
        <v>684</v>
      </c>
      <c r="C344" s="548" t="s">
        <v>685</v>
      </c>
    </row>
    <row r="345" spans="1:3" x14ac:dyDescent="0.3">
      <c r="A345" s="560">
        <v>328</v>
      </c>
      <c r="B345" s="552" t="s">
        <v>1322</v>
      </c>
      <c r="C345" s="548" t="s">
        <v>691</v>
      </c>
    </row>
    <row r="346" spans="1:3" x14ac:dyDescent="0.3">
      <c r="A346" s="560">
        <v>329</v>
      </c>
      <c r="B346" s="552" t="s">
        <v>1323</v>
      </c>
      <c r="C346" s="548" t="s">
        <v>682</v>
      </c>
    </row>
    <row r="347" spans="1:3" x14ac:dyDescent="0.3">
      <c r="A347" s="560">
        <v>330</v>
      </c>
      <c r="B347" s="552" t="s">
        <v>683</v>
      </c>
      <c r="C347" s="548" t="s">
        <v>1324</v>
      </c>
    </row>
    <row r="348" spans="1:3" x14ac:dyDescent="0.3">
      <c r="A348" s="560">
        <v>331</v>
      </c>
      <c r="B348" s="552" t="s">
        <v>1325</v>
      </c>
      <c r="C348" s="548" t="s">
        <v>806</v>
      </c>
    </row>
    <row r="349" spans="1:3" x14ac:dyDescent="0.3">
      <c r="A349" s="560">
        <v>332</v>
      </c>
      <c r="B349" s="552" t="s">
        <v>1326</v>
      </c>
      <c r="C349" s="548" t="s">
        <v>602</v>
      </c>
    </row>
    <row r="350" spans="1:3" x14ac:dyDescent="0.3">
      <c r="A350" s="560">
        <v>333</v>
      </c>
      <c r="B350" s="552" t="s">
        <v>1327</v>
      </c>
      <c r="C350" s="548" t="s">
        <v>1328</v>
      </c>
    </row>
    <row r="351" spans="1:3" x14ac:dyDescent="0.3">
      <c r="A351" s="560">
        <v>334</v>
      </c>
      <c r="B351" s="552" t="s">
        <v>686</v>
      </c>
      <c r="C351" s="548" t="s">
        <v>1329</v>
      </c>
    </row>
    <row r="352" spans="1:3" x14ac:dyDescent="0.3">
      <c r="A352" s="560">
        <v>335</v>
      </c>
      <c r="B352" s="552" t="s">
        <v>1330</v>
      </c>
      <c r="C352" s="548" t="s">
        <v>1331</v>
      </c>
    </row>
    <row r="353" spans="1:3" x14ac:dyDescent="0.3">
      <c r="A353" s="560">
        <v>336</v>
      </c>
      <c r="B353" s="552" t="s">
        <v>687</v>
      </c>
      <c r="C353" s="548" t="s">
        <v>688</v>
      </c>
    </row>
    <row r="354" spans="1:3" x14ac:dyDescent="0.3">
      <c r="A354" s="560">
        <v>337</v>
      </c>
      <c r="B354" s="552" t="s">
        <v>692</v>
      </c>
      <c r="C354" s="548" t="s">
        <v>1332</v>
      </c>
    </row>
    <row r="355" spans="1:3" x14ac:dyDescent="0.3">
      <c r="A355" s="560">
        <v>338</v>
      </c>
      <c r="B355" s="552" t="s">
        <v>463</v>
      </c>
      <c r="C355" s="548" t="s">
        <v>1333</v>
      </c>
    </row>
    <row r="356" spans="1:3" x14ac:dyDescent="0.3">
      <c r="A356" s="560">
        <v>339</v>
      </c>
      <c r="B356" s="552" t="s">
        <v>1334</v>
      </c>
      <c r="C356" s="548" t="s">
        <v>1335</v>
      </c>
    </row>
    <row r="357" spans="1:3" x14ac:dyDescent="0.3">
      <c r="A357" s="560">
        <v>340</v>
      </c>
      <c r="B357" s="552" t="s">
        <v>1336</v>
      </c>
      <c r="C357" s="548" t="s">
        <v>837</v>
      </c>
    </row>
    <row r="358" spans="1:3" x14ac:dyDescent="0.3">
      <c r="A358" s="560">
        <v>341</v>
      </c>
      <c r="B358" s="552" t="s">
        <v>696</v>
      </c>
      <c r="C358" s="548" t="s">
        <v>697</v>
      </c>
    </row>
    <row r="359" spans="1:3" x14ac:dyDescent="0.3">
      <c r="A359" s="560">
        <v>342</v>
      </c>
      <c r="B359" s="552" t="s">
        <v>1337</v>
      </c>
      <c r="C359" s="552" t="s">
        <v>695</v>
      </c>
    </row>
    <row r="360" spans="1:3" x14ac:dyDescent="0.3">
      <c r="A360" s="560">
        <v>343</v>
      </c>
      <c r="B360" s="552" t="s">
        <v>1338</v>
      </c>
      <c r="C360" s="552" t="s">
        <v>1339</v>
      </c>
    </row>
    <row r="361" spans="1:3" x14ac:dyDescent="0.3">
      <c r="A361" s="560">
        <v>344</v>
      </c>
      <c r="B361" s="552" t="s">
        <v>1340</v>
      </c>
      <c r="C361" s="552" t="s">
        <v>694</v>
      </c>
    </row>
    <row r="362" spans="1:3" x14ac:dyDescent="0.3">
      <c r="A362" s="560">
        <v>345</v>
      </c>
      <c r="B362" s="552" t="s">
        <v>1341</v>
      </c>
      <c r="C362" s="552" t="s">
        <v>1342</v>
      </c>
    </row>
    <row r="363" spans="1:3" x14ac:dyDescent="0.3">
      <c r="A363" s="560"/>
      <c r="B363" s="552" t="s">
        <v>1343</v>
      </c>
      <c r="C363" s="552" t="s">
        <v>959</v>
      </c>
    </row>
    <row r="364" spans="1:3" x14ac:dyDescent="0.3">
      <c r="A364" s="560"/>
      <c r="B364" s="552" t="s">
        <v>1344</v>
      </c>
      <c r="C364" s="552" t="s">
        <v>1345</v>
      </c>
    </row>
    <row r="365" spans="1:3" x14ac:dyDescent="0.3">
      <c r="A365" s="560">
        <v>346</v>
      </c>
      <c r="B365" s="552" t="s">
        <v>1346</v>
      </c>
      <c r="C365" s="552" t="s">
        <v>1347</v>
      </c>
    </row>
    <row r="366" spans="1:3" x14ac:dyDescent="0.3">
      <c r="A366" s="560">
        <v>347</v>
      </c>
      <c r="B366" s="552" t="s">
        <v>1348</v>
      </c>
      <c r="C366" s="552" t="s">
        <v>698</v>
      </c>
    </row>
    <row r="367" spans="1:3" x14ac:dyDescent="0.3">
      <c r="A367" s="560">
        <v>348</v>
      </c>
      <c r="B367" s="552" t="s">
        <v>464</v>
      </c>
      <c r="C367" s="552" t="s">
        <v>699</v>
      </c>
    </row>
    <row r="368" spans="1:3" x14ac:dyDescent="0.3">
      <c r="A368" s="560"/>
      <c r="B368" s="552" t="s">
        <v>1349</v>
      </c>
      <c r="C368" s="552" t="s">
        <v>863</v>
      </c>
    </row>
    <row r="369" spans="1:3" x14ac:dyDescent="0.3">
      <c r="A369" s="560"/>
      <c r="B369" s="552" t="s">
        <v>1350</v>
      </c>
      <c r="C369" s="552" t="s">
        <v>1351</v>
      </c>
    </row>
    <row r="370" spans="1:3" x14ac:dyDescent="0.3">
      <c r="A370" s="560">
        <v>349</v>
      </c>
      <c r="B370" s="469" t="s">
        <v>1352</v>
      </c>
      <c r="C370" s="469" t="s">
        <v>863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1A00-000000000000}"/>
  </hyperlinks>
  <pageMargins left="0.7" right="0.7" top="0.75" bottom="0.75" header="0.3" footer="0.3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X18"/>
  <sheetViews>
    <sheetView view="pageLayout" zoomScaleNormal="100" workbookViewId="0">
      <selection activeCell="U18" sqref="U18:X18"/>
    </sheetView>
  </sheetViews>
  <sheetFormatPr baseColWidth="10" defaultColWidth="11.44140625" defaultRowHeight="14.4" x14ac:dyDescent="0.3"/>
  <cols>
    <col min="1" max="1" width="4.33203125" style="456" customWidth="1"/>
    <col min="2" max="2" width="5.33203125" style="456" customWidth="1"/>
    <col min="3" max="3" width="3.5546875" style="456" customWidth="1"/>
    <col min="4" max="4" width="4.88671875" style="456" customWidth="1"/>
    <col min="5" max="5" width="6.44140625" style="456" customWidth="1"/>
    <col min="6" max="6" width="3.109375" style="456" customWidth="1"/>
    <col min="7" max="7" width="2.33203125" style="456" customWidth="1"/>
    <col min="8" max="8" width="2.5546875" style="456" customWidth="1"/>
    <col min="9" max="9" width="1.88671875" style="456" customWidth="1"/>
    <col min="10" max="10" width="2" style="456" customWidth="1"/>
    <col min="11" max="11" width="4.5546875" style="456" customWidth="1"/>
    <col min="12" max="12" width="4.109375" style="456" customWidth="1"/>
    <col min="13" max="13" width="2.6640625" style="456" customWidth="1"/>
    <col min="14" max="14" width="3.5546875" style="456" customWidth="1"/>
    <col min="15" max="15" width="2.88671875" style="456" customWidth="1"/>
    <col min="16" max="16" width="5.33203125" style="456" customWidth="1"/>
    <col min="17" max="17" width="3.5546875" style="456" customWidth="1"/>
    <col min="18" max="18" width="3.33203125" style="456" customWidth="1"/>
    <col min="19" max="19" width="3.109375" style="456" customWidth="1"/>
    <col min="20" max="21" width="3.88671875" style="456" customWidth="1"/>
    <col min="22" max="22" width="2.88671875" style="456" customWidth="1"/>
    <col min="23" max="23" width="4.109375" style="456" customWidth="1"/>
    <col min="24" max="24" width="3" style="456" customWidth="1"/>
    <col min="25" max="16384" width="11.44140625" style="456"/>
  </cols>
  <sheetData>
    <row r="3" spans="1:24" x14ac:dyDescent="0.3">
      <c r="A3" s="810" t="s">
        <v>790</v>
      </c>
      <c r="B3" s="810"/>
      <c r="C3" s="810"/>
      <c r="D3" s="810"/>
      <c r="E3" s="810"/>
      <c r="F3" s="810"/>
      <c r="G3" s="810"/>
      <c r="H3" s="810"/>
      <c r="I3" s="810"/>
      <c r="J3" s="810"/>
      <c r="K3" s="810"/>
      <c r="L3" s="810"/>
      <c r="M3" s="810"/>
      <c r="N3" s="810"/>
      <c r="O3" s="810"/>
      <c r="P3" s="810"/>
      <c r="Q3" s="810"/>
      <c r="R3" s="810"/>
      <c r="S3" s="810"/>
      <c r="T3" s="810"/>
      <c r="U3" s="810"/>
      <c r="V3" s="810"/>
      <c r="W3" s="810"/>
      <c r="X3" s="810"/>
    </row>
    <row r="5" spans="1:24" x14ac:dyDescent="0.3">
      <c r="A5" s="472" t="s">
        <v>708</v>
      </c>
    </row>
    <row r="7" spans="1:24" x14ac:dyDescent="0.3">
      <c r="A7" s="660" t="s">
        <v>726</v>
      </c>
      <c r="B7" s="660"/>
      <c r="C7" s="660"/>
      <c r="D7" s="660"/>
      <c r="E7" s="660" t="s">
        <v>1</v>
      </c>
      <c r="F7" s="660"/>
      <c r="G7" s="660"/>
      <c r="H7" s="660"/>
      <c r="I7" s="660"/>
      <c r="J7" s="660"/>
      <c r="K7" s="661" t="s">
        <v>15</v>
      </c>
      <c r="L7" s="661"/>
      <c r="M7" s="661"/>
      <c r="N7" s="661"/>
      <c r="O7" s="661"/>
      <c r="P7" s="661"/>
      <c r="Q7" s="660" t="s">
        <v>727</v>
      </c>
      <c r="R7" s="660"/>
      <c r="S7" s="660"/>
      <c r="T7" s="660"/>
      <c r="U7" s="661" t="s">
        <v>728</v>
      </c>
      <c r="V7" s="661"/>
      <c r="W7" s="661"/>
      <c r="X7" s="661"/>
    </row>
    <row r="8" spans="1:24" hidden="1" x14ac:dyDescent="0.3">
      <c r="A8" s="654" t="s">
        <v>791</v>
      </c>
      <c r="B8" s="654"/>
      <c r="C8" s="654"/>
      <c r="D8" s="654"/>
      <c r="E8" s="654" t="s">
        <v>8</v>
      </c>
      <c r="F8" s="654"/>
      <c r="G8" s="654"/>
      <c r="H8" s="654"/>
      <c r="I8" s="654"/>
      <c r="J8" s="654"/>
      <c r="K8" s="654" t="s">
        <v>792</v>
      </c>
      <c r="L8" s="654"/>
      <c r="M8" s="654"/>
      <c r="N8" s="654"/>
      <c r="O8" s="654"/>
      <c r="P8" s="654"/>
      <c r="Q8" s="654" t="s">
        <v>793</v>
      </c>
      <c r="R8" s="654"/>
      <c r="S8" s="654"/>
      <c r="T8" s="654"/>
      <c r="U8" s="659">
        <v>44158</v>
      </c>
      <c r="V8" s="659"/>
      <c r="W8" s="659"/>
      <c r="X8" s="659"/>
    </row>
    <row r="9" spans="1:24" x14ac:dyDescent="0.3">
      <c r="A9" s="654" t="s">
        <v>791</v>
      </c>
      <c r="B9" s="654"/>
      <c r="C9" s="654"/>
      <c r="D9" s="654"/>
      <c r="E9" s="654" t="s">
        <v>9</v>
      </c>
      <c r="F9" s="654"/>
      <c r="G9" s="654"/>
      <c r="H9" s="654"/>
      <c r="I9" s="654"/>
      <c r="J9" s="654"/>
      <c r="K9" s="654" t="s">
        <v>794</v>
      </c>
      <c r="L9" s="654"/>
      <c r="M9" s="654"/>
      <c r="N9" s="654"/>
      <c r="O9" s="654"/>
      <c r="P9" s="654"/>
      <c r="Q9" s="654" t="s">
        <v>793</v>
      </c>
      <c r="R9" s="654"/>
      <c r="S9" s="654"/>
      <c r="T9" s="654"/>
      <c r="U9" s="659">
        <v>44331</v>
      </c>
      <c r="V9" s="659"/>
      <c r="W9" s="659"/>
      <c r="X9" s="659"/>
    </row>
    <row r="10" spans="1:24" hidden="1" x14ac:dyDescent="0.3">
      <c r="A10" s="654" t="s">
        <v>791</v>
      </c>
      <c r="B10" s="654"/>
      <c r="C10" s="654"/>
      <c r="D10" s="654"/>
      <c r="E10" s="654" t="s">
        <v>11</v>
      </c>
      <c r="F10" s="654"/>
      <c r="G10" s="654"/>
      <c r="H10" s="654"/>
      <c r="I10" s="654"/>
      <c r="J10" s="654"/>
      <c r="K10" s="654" t="s">
        <v>749</v>
      </c>
      <c r="L10" s="654"/>
      <c r="M10" s="654"/>
      <c r="N10" s="654"/>
      <c r="O10" s="654"/>
      <c r="P10" s="654"/>
      <c r="Q10" s="654" t="s">
        <v>793</v>
      </c>
      <c r="R10" s="654"/>
      <c r="S10" s="654"/>
      <c r="T10" s="654"/>
      <c r="U10" s="659">
        <v>44331</v>
      </c>
      <c r="V10" s="659"/>
      <c r="W10" s="659"/>
      <c r="X10" s="659"/>
    </row>
    <row r="11" spans="1:24" x14ac:dyDescent="0.3">
      <c r="A11" s="654" t="s">
        <v>791</v>
      </c>
      <c r="B11" s="654"/>
      <c r="C11" s="654"/>
      <c r="D11" s="654"/>
      <c r="E11" s="654" t="s">
        <v>738</v>
      </c>
      <c r="F11" s="654"/>
      <c r="G11" s="654"/>
      <c r="H11" s="654"/>
      <c r="I11" s="654"/>
      <c r="J11" s="654"/>
      <c r="K11" s="654" t="s">
        <v>1356</v>
      </c>
      <c r="L11" s="654"/>
      <c r="M11" s="654"/>
      <c r="N11" s="654"/>
      <c r="O11" s="654"/>
      <c r="P11" s="654"/>
      <c r="Q11" s="654" t="s">
        <v>793</v>
      </c>
      <c r="R11" s="654"/>
      <c r="S11" s="654"/>
      <c r="T11" s="654"/>
      <c r="U11" s="659">
        <v>45935</v>
      </c>
      <c r="V11" s="659"/>
      <c r="W11" s="659"/>
      <c r="X11" s="659"/>
    </row>
    <row r="12" spans="1:24" x14ac:dyDescent="0.3">
      <c r="A12" s="654" t="s">
        <v>791</v>
      </c>
      <c r="B12" s="654"/>
      <c r="C12" s="654"/>
      <c r="D12" s="654"/>
      <c r="E12" s="654" t="s">
        <v>739</v>
      </c>
      <c r="F12" s="654"/>
      <c r="G12" s="654"/>
      <c r="H12" s="654"/>
      <c r="I12" s="654"/>
      <c r="J12" s="654"/>
      <c r="K12" s="654" t="s">
        <v>1357</v>
      </c>
      <c r="L12" s="654"/>
      <c r="M12" s="654"/>
      <c r="N12" s="654"/>
      <c r="O12" s="654"/>
      <c r="P12" s="654"/>
      <c r="Q12" s="654" t="s">
        <v>793</v>
      </c>
      <c r="R12" s="654"/>
      <c r="S12" s="654"/>
      <c r="T12" s="654"/>
      <c r="U12" s="659">
        <v>45935</v>
      </c>
      <c r="V12" s="659"/>
      <c r="W12" s="659"/>
      <c r="X12" s="659"/>
    </row>
    <row r="13" spans="1:24" x14ac:dyDescent="0.3">
      <c r="A13" s="654" t="s">
        <v>801</v>
      </c>
      <c r="B13" s="654"/>
      <c r="C13" s="654"/>
      <c r="D13" s="654"/>
      <c r="E13" s="654" t="s">
        <v>802</v>
      </c>
      <c r="F13" s="654"/>
      <c r="G13" s="654"/>
      <c r="H13" s="654"/>
      <c r="I13" s="654"/>
      <c r="J13" s="654"/>
      <c r="K13" s="654" t="s">
        <v>1358</v>
      </c>
      <c r="L13" s="654"/>
      <c r="M13" s="654"/>
      <c r="N13" s="654"/>
      <c r="O13" s="654"/>
      <c r="P13" s="654"/>
      <c r="Q13" s="654" t="s">
        <v>804</v>
      </c>
      <c r="R13" s="654"/>
      <c r="S13" s="654"/>
      <c r="T13" s="654"/>
      <c r="U13" s="659">
        <v>45794</v>
      </c>
      <c r="V13" s="659"/>
      <c r="W13" s="659"/>
      <c r="X13" s="659"/>
    </row>
    <row r="14" spans="1:24" x14ac:dyDescent="0.3">
      <c r="A14" s="654" t="s">
        <v>801</v>
      </c>
      <c r="B14" s="654"/>
      <c r="C14" s="654"/>
      <c r="D14" s="654"/>
      <c r="E14" s="654" t="s">
        <v>803</v>
      </c>
      <c r="F14" s="654"/>
      <c r="G14" s="654"/>
      <c r="H14" s="654"/>
      <c r="I14" s="654"/>
      <c r="J14" s="654"/>
      <c r="K14" s="654" t="s">
        <v>1359</v>
      </c>
      <c r="L14" s="654"/>
      <c r="M14" s="654"/>
      <c r="N14" s="654"/>
      <c r="O14" s="654"/>
      <c r="P14" s="654"/>
      <c r="Q14" s="654" t="s">
        <v>804</v>
      </c>
      <c r="R14" s="654"/>
      <c r="S14" s="654"/>
      <c r="T14" s="654"/>
      <c r="U14" s="659">
        <v>46588</v>
      </c>
      <c r="V14" s="659"/>
      <c r="W14" s="659"/>
      <c r="X14" s="659"/>
    </row>
    <row r="15" spans="1:24" x14ac:dyDescent="0.3">
      <c r="A15" s="654" t="s">
        <v>796</v>
      </c>
      <c r="B15" s="654"/>
      <c r="C15" s="654"/>
      <c r="D15" s="654"/>
      <c r="E15" s="654" t="s">
        <v>799</v>
      </c>
      <c r="F15" s="654"/>
      <c r="G15" s="654"/>
      <c r="H15" s="654"/>
      <c r="I15" s="654"/>
      <c r="J15" s="654"/>
      <c r="K15" s="654" t="s">
        <v>1360</v>
      </c>
      <c r="L15" s="654"/>
      <c r="M15" s="654"/>
      <c r="N15" s="654"/>
      <c r="O15" s="654"/>
      <c r="P15" s="654"/>
      <c r="Q15" s="654" t="s">
        <v>804</v>
      </c>
      <c r="R15" s="654"/>
      <c r="S15" s="654"/>
      <c r="T15" s="654"/>
      <c r="U15" s="659">
        <v>46589</v>
      </c>
      <c r="V15" s="659"/>
      <c r="W15" s="659"/>
      <c r="X15" s="659"/>
    </row>
    <row r="16" spans="1:24" x14ac:dyDescent="0.3">
      <c r="A16" s="654" t="s">
        <v>796</v>
      </c>
      <c r="B16" s="654"/>
      <c r="C16" s="654"/>
      <c r="D16" s="654"/>
      <c r="E16" s="654" t="s">
        <v>800</v>
      </c>
      <c r="F16" s="654"/>
      <c r="G16" s="654"/>
      <c r="H16" s="654"/>
      <c r="I16" s="654"/>
      <c r="J16" s="654"/>
      <c r="K16" s="654" t="s">
        <v>1361</v>
      </c>
      <c r="L16" s="654"/>
      <c r="M16" s="654"/>
      <c r="N16" s="654"/>
      <c r="O16" s="654"/>
      <c r="P16" s="654"/>
      <c r="Q16" s="654" t="s">
        <v>804</v>
      </c>
      <c r="R16" s="654"/>
      <c r="S16" s="654"/>
      <c r="T16" s="654"/>
      <c r="U16" s="659">
        <v>46589</v>
      </c>
      <c r="V16" s="659"/>
      <c r="W16" s="659"/>
      <c r="X16" s="659"/>
    </row>
    <row r="17" spans="1:24" x14ac:dyDescent="0.3">
      <c r="A17" s="654" t="s">
        <v>796</v>
      </c>
      <c r="B17" s="654"/>
      <c r="C17" s="654"/>
      <c r="D17" s="654"/>
      <c r="E17" s="654" t="s">
        <v>797</v>
      </c>
      <c r="F17" s="654"/>
      <c r="G17" s="654"/>
      <c r="H17" s="654"/>
      <c r="I17" s="654"/>
      <c r="J17" s="654"/>
      <c r="K17" s="654" t="s">
        <v>1362</v>
      </c>
      <c r="L17" s="654"/>
      <c r="M17" s="654"/>
      <c r="N17" s="654"/>
      <c r="O17" s="654"/>
      <c r="P17" s="654"/>
      <c r="Q17" s="654" t="s">
        <v>804</v>
      </c>
      <c r="R17" s="654"/>
      <c r="S17" s="654"/>
      <c r="T17" s="654"/>
      <c r="U17" s="659">
        <v>46586</v>
      </c>
      <c r="V17" s="659"/>
      <c r="W17" s="659"/>
      <c r="X17" s="659"/>
    </row>
    <row r="18" spans="1:24" x14ac:dyDescent="0.3">
      <c r="A18" s="654" t="s">
        <v>796</v>
      </c>
      <c r="B18" s="654"/>
      <c r="C18" s="654"/>
      <c r="D18" s="654"/>
      <c r="E18" s="654" t="s">
        <v>798</v>
      </c>
      <c r="F18" s="654"/>
      <c r="G18" s="654"/>
      <c r="H18" s="654"/>
      <c r="I18" s="654"/>
      <c r="J18" s="654"/>
      <c r="K18" s="654" t="s">
        <v>1363</v>
      </c>
      <c r="L18" s="654"/>
      <c r="M18" s="654"/>
      <c r="N18" s="654"/>
      <c r="O18" s="654"/>
      <c r="P18" s="654"/>
      <c r="Q18" s="654" t="s">
        <v>804</v>
      </c>
      <c r="R18" s="654"/>
      <c r="S18" s="654"/>
      <c r="T18" s="654"/>
      <c r="U18" s="659">
        <v>46586</v>
      </c>
      <c r="V18" s="659"/>
      <c r="W18" s="659"/>
      <c r="X18" s="659"/>
    </row>
  </sheetData>
  <mergeCells count="61">
    <mergeCell ref="A14:D14"/>
    <mergeCell ref="E14:J14"/>
    <mergeCell ref="K14:P14"/>
    <mergeCell ref="Q14:T14"/>
    <mergeCell ref="U14:X14"/>
    <mergeCell ref="A18:D18"/>
    <mergeCell ref="E18:J18"/>
    <mergeCell ref="K18:P18"/>
    <mergeCell ref="Q18:T18"/>
    <mergeCell ref="U18:X18"/>
    <mergeCell ref="A13:D13"/>
    <mergeCell ref="E13:J13"/>
    <mergeCell ref="K13:P13"/>
    <mergeCell ref="Q13:T13"/>
    <mergeCell ref="U13:X13"/>
    <mergeCell ref="A16:D16"/>
    <mergeCell ref="E16:J16"/>
    <mergeCell ref="K16:P16"/>
    <mergeCell ref="Q16:T16"/>
    <mergeCell ref="U16:X16"/>
    <mergeCell ref="A17:D17"/>
    <mergeCell ref="E17:J17"/>
    <mergeCell ref="K17:P17"/>
    <mergeCell ref="Q17:T17"/>
    <mergeCell ref="U17:X17"/>
    <mergeCell ref="A12:D12"/>
    <mergeCell ref="E12:J12"/>
    <mergeCell ref="K12:P12"/>
    <mergeCell ref="Q12:T12"/>
    <mergeCell ref="U12:X12"/>
    <mergeCell ref="A15:D15"/>
    <mergeCell ref="E15:J15"/>
    <mergeCell ref="K15:P15"/>
    <mergeCell ref="Q15:T15"/>
    <mergeCell ref="U15:X15"/>
    <mergeCell ref="A10:D10"/>
    <mergeCell ref="E10:J10"/>
    <mergeCell ref="K10:P10"/>
    <mergeCell ref="Q10:T10"/>
    <mergeCell ref="U10:X10"/>
    <mergeCell ref="A11:D11"/>
    <mergeCell ref="E11:J11"/>
    <mergeCell ref="K11:P11"/>
    <mergeCell ref="Q11:T11"/>
    <mergeCell ref="U11:X11"/>
    <mergeCell ref="A9:D9"/>
    <mergeCell ref="E9:J9"/>
    <mergeCell ref="K9:P9"/>
    <mergeCell ref="Q9:T9"/>
    <mergeCell ref="U9:X9"/>
    <mergeCell ref="A3:X3"/>
    <mergeCell ref="A7:D7"/>
    <mergeCell ref="E7:J7"/>
    <mergeCell ref="K7:P7"/>
    <mergeCell ref="Q7:T7"/>
    <mergeCell ref="U7:X7"/>
    <mergeCell ref="A8:D8"/>
    <mergeCell ref="E8:J8"/>
    <mergeCell ref="K8:P8"/>
    <mergeCell ref="Q8:T8"/>
    <mergeCell ref="U8:X8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AAB0-E7CF-434C-BBB0-D3E15AC77AA9}">
  <dimension ref="B2:Q38"/>
  <sheetViews>
    <sheetView workbookViewId="0">
      <selection activeCell="P30" sqref="P30"/>
    </sheetView>
  </sheetViews>
  <sheetFormatPr baseColWidth="10" defaultColWidth="8.88671875" defaultRowHeight="14.4" x14ac:dyDescent="0.3"/>
  <cols>
    <col min="10" max="10" width="17.6640625" bestFit="1" customWidth="1"/>
  </cols>
  <sheetData>
    <row r="2" spans="2:17" x14ac:dyDescent="0.3">
      <c r="B2" s="578"/>
      <c r="C2" s="578"/>
      <c r="D2" s="578"/>
      <c r="I2" s="579"/>
    </row>
    <row r="3" spans="2:17" x14ac:dyDescent="0.3">
      <c r="B3" s="811" t="s">
        <v>1460</v>
      </c>
      <c r="C3" s="811"/>
      <c r="D3" s="811"/>
    </row>
    <row r="4" spans="2:17" ht="15" thickBot="1" x14ac:dyDescent="0.35">
      <c r="B4" s="580"/>
      <c r="C4" s="580"/>
      <c r="D4" s="580"/>
      <c r="I4" s="812" t="s">
        <v>1437</v>
      </c>
      <c r="J4" s="812"/>
      <c r="K4" s="812" t="s">
        <v>177</v>
      </c>
      <c r="L4" s="812"/>
      <c r="N4" s="602" t="s">
        <v>1462</v>
      </c>
      <c r="O4" s="581"/>
    </row>
    <row r="5" spans="2:17" ht="16.2" thickBot="1" x14ac:dyDescent="0.35">
      <c r="B5" s="813" t="s">
        <v>467</v>
      </c>
      <c r="C5" s="814"/>
      <c r="D5" s="601" t="s">
        <v>1461</v>
      </c>
      <c r="I5" s="582" t="s">
        <v>1438</v>
      </c>
      <c r="J5" s="582" t="s">
        <v>1439</v>
      </c>
      <c r="K5" s="582" t="s">
        <v>1438</v>
      </c>
      <c r="L5" s="582" t="s">
        <v>1439</v>
      </c>
      <c r="M5" s="582" t="s">
        <v>1453</v>
      </c>
      <c r="N5" s="582" t="s">
        <v>1454</v>
      </c>
      <c r="O5" s="582" t="s">
        <v>1455</v>
      </c>
      <c r="P5" s="582" t="s">
        <v>1456</v>
      </c>
      <c r="Q5" s="582" t="s">
        <v>1457</v>
      </c>
    </row>
    <row r="6" spans="2:17" x14ac:dyDescent="0.3">
      <c r="B6" s="594">
        <v>2</v>
      </c>
      <c r="C6" s="595" t="s">
        <v>32</v>
      </c>
      <c r="D6" s="590">
        <v>0.13</v>
      </c>
      <c r="I6" s="562">
        <f>$B$6</f>
        <v>2</v>
      </c>
      <c r="J6" s="562">
        <f>$B$6</f>
        <v>2</v>
      </c>
      <c r="K6" s="562">
        <f>$D$6</f>
        <v>0.13</v>
      </c>
      <c r="L6" s="562">
        <f>$D$6</f>
        <v>0.13</v>
      </c>
      <c r="M6" s="583">
        <v>0</v>
      </c>
      <c r="N6" s="583">
        <v>5.8816999999999995E-4</v>
      </c>
      <c r="O6" s="562"/>
      <c r="P6" s="562"/>
      <c r="Q6" s="584"/>
    </row>
    <row r="7" spans="2:17" x14ac:dyDescent="0.3">
      <c r="B7" s="596">
        <v>5</v>
      </c>
      <c r="C7" s="597" t="s">
        <v>32</v>
      </c>
      <c r="D7" s="600">
        <v>0.17</v>
      </c>
      <c r="I7" s="562">
        <f>$B$7</f>
        <v>5</v>
      </c>
      <c r="J7" s="562">
        <f>$B$7</f>
        <v>5</v>
      </c>
      <c r="K7" s="562">
        <f>$D$7</f>
        <v>0.17</v>
      </c>
      <c r="L7" s="562">
        <f>$D$7</f>
        <v>0.17</v>
      </c>
      <c r="M7" s="583">
        <v>0</v>
      </c>
      <c r="N7" s="583">
        <v>5.8816999999999995E-4</v>
      </c>
      <c r="O7" s="562"/>
      <c r="P7" s="562"/>
      <c r="Q7" s="562"/>
    </row>
    <row r="8" spans="2:17" x14ac:dyDescent="0.3">
      <c r="B8" s="596">
        <v>10</v>
      </c>
      <c r="C8" s="597" t="s">
        <v>32</v>
      </c>
      <c r="D8" s="600">
        <v>0.2</v>
      </c>
      <c r="I8" s="562">
        <f>$B$8</f>
        <v>10</v>
      </c>
      <c r="J8" s="562">
        <f>$B$8</f>
        <v>10</v>
      </c>
      <c r="K8" s="562">
        <f>$D$8</f>
        <v>0.2</v>
      </c>
      <c r="L8" s="562">
        <f>$D$8</f>
        <v>0.2</v>
      </c>
      <c r="M8" s="583">
        <v>0</v>
      </c>
      <c r="N8" s="583">
        <v>5.8816999999999995E-4</v>
      </c>
      <c r="O8" s="562"/>
      <c r="P8" s="562"/>
      <c r="Q8" s="562"/>
    </row>
    <row r="9" spans="2:17" x14ac:dyDescent="0.3">
      <c r="B9" s="596">
        <v>50</v>
      </c>
      <c r="C9" s="597" t="s">
        <v>32</v>
      </c>
      <c r="D9" s="600">
        <v>0.33</v>
      </c>
      <c r="I9" s="562">
        <f>$B$9</f>
        <v>50</v>
      </c>
      <c r="J9" s="562">
        <f>$B$9</f>
        <v>50</v>
      </c>
      <c r="K9" s="562">
        <f>$D$9</f>
        <v>0.33</v>
      </c>
      <c r="L9" s="562">
        <f>$D$9</f>
        <v>0.33</v>
      </c>
      <c r="M9" s="583">
        <v>0</v>
      </c>
      <c r="N9" s="583">
        <v>5.8816999999999995E-4</v>
      </c>
    </row>
    <row r="10" spans="2:17" x14ac:dyDescent="0.3">
      <c r="B10" s="596">
        <v>100</v>
      </c>
      <c r="C10" s="597" t="s">
        <v>32</v>
      </c>
      <c r="D10" s="600">
        <v>0.53</v>
      </c>
      <c r="I10" s="562">
        <f>$B$10</f>
        <v>100</v>
      </c>
      <c r="J10" s="562">
        <f>$B$10</f>
        <v>100</v>
      </c>
      <c r="K10" s="562">
        <f>$D$10</f>
        <v>0.53</v>
      </c>
      <c r="L10" s="562">
        <f>$D$10</f>
        <v>0.53</v>
      </c>
      <c r="M10" s="583">
        <v>0</v>
      </c>
      <c r="N10" s="583">
        <v>5.8816999999999995E-4</v>
      </c>
    </row>
    <row r="11" spans="2:17" x14ac:dyDescent="0.3">
      <c r="B11" s="596">
        <v>200</v>
      </c>
      <c r="C11" s="597" t="s">
        <v>32</v>
      </c>
      <c r="D11" s="600">
        <v>1</v>
      </c>
      <c r="I11" s="562">
        <f>$B$11</f>
        <v>200</v>
      </c>
      <c r="J11" s="562">
        <f>$B$11</f>
        <v>200</v>
      </c>
      <c r="K11" s="562">
        <f>$D$11</f>
        <v>1</v>
      </c>
      <c r="L11" s="562">
        <f>$D$11</f>
        <v>1</v>
      </c>
      <c r="M11" s="583">
        <v>0</v>
      </c>
      <c r="N11" s="583">
        <v>5.8816999999999995E-4</v>
      </c>
    </row>
    <row r="12" spans="2:17" x14ac:dyDescent="0.3">
      <c r="B12" s="596">
        <v>500</v>
      </c>
      <c r="C12" s="597" t="s">
        <v>32</v>
      </c>
      <c r="D12" s="600">
        <v>2.7</v>
      </c>
      <c r="I12" s="562">
        <f>$B$12</f>
        <v>500</v>
      </c>
      <c r="J12" s="562">
        <f>$B$12</f>
        <v>500</v>
      </c>
      <c r="K12" s="562">
        <f>$D$12</f>
        <v>2.7</v>
      </c>
      <c r="L12" s="562">
        <f>$D$12</f>
        <v>2.7</v>
      </c>
      <c r="M12" s="583">
        <v>0</v>
      </c>
      <c r="N12" s="583">
        <v>5.8816999999999995E-4</v>
      </c>
    </row>
    <row r="13" spans="2:17" x14ac:dyDescent="0.3">
      <c r="B13" s="596">
        <v>10</v>
      </c>
      <c r="C13" s="597" t="s">
        <v>782</v>
      </c>
      <c r="D13" s="600">
        <v>166.7</v>
      </c>
      <c r="I13" s="562">
        <v>10000</v>
      </c>
      <c r="J13" s="562">
        <v>10000</v>
      </c>
      <c r="K13" s="562">
        <f>$D$13</f>
        <v>166.7</v>
      </c>
      <c r="L13" s="562">
        <f>$D$13</f>
        <v>166.7</v>
      </c>
      <c r="M13" s="583">
        <v>0</v>
      </c>
      <c r="N13" s="583">
        <v>5.8816999999999995E-4</v>
      </c>
    </row>
    <row r="14" spans="2:17" ht="15" thickBot="1" x14ac:dyDescent="0.35">
      <c r="B14" s="598">
        <v>20</v>
      </c>
      <c r="C14" s="599" t="s">
        <v>782</v>
      </c>
      <c r="D14" s="591">
        <v>333.3</v>
      </c>
      <c r="I14" s="562">
        <v>20000</v>
      </c>
      <c r="J14" s="562">
        <v>20000</v>
      </c>
      <c r="K14" s="562">
        <f>$D$14</f>
        <v>333.3</v>
      </c>
      <c r="L14" s="562">
        <f>$D$14</f>
        <v>333.3</v>
      </c>
      <c r="M14" s="583">
        <v>0</v>
      </c>
      <c r="N14" s="583">
        <v>5.8816999999999995E-4</v>
      </c>
    </row>
    <row r="15" spans="2:17" x14ac:dyDescent="0.3">
      <c r="B15" s="593"/>
      <c r="C15" s="593"/>
      <c r="D15" s="593"/>
    </row>
    <row r="16" spans="2:17" x14ac:dyDescent="0.3">
      <c r="B16" s="592"/>
      <c r="C16" s="592"/>
      <c r="D16" s="592"/>
    </row>
    <row r="17" spans="2:13" x14ac:dyDescent="0.3">
      <c r="B17" s="592"/>
      <c r="C17" s="592"/>
      <c r="D17" s="592"/>
      <c r="I17" s="602" t="s">
        <v>1462</v>
      </c>
      <c r="J17" s="581"/>
    </row>
    <row r="18" spans="2:13" ht="15.6" x14ac:dyDescent="0.3">
      <c r="B18" s="592"/>
      <c r="C18" s="592"/>
      <c r="D18" s="592"/>
      <c r="I18" s="585" t="s">
        <v>1440</v>
      </c>
      <c r="J18" s="586" t="s">
        <v>1458</v>
      </c>
      <c r="K18" s="586" t="s">
        <v>1459</v>
      </c>
      <c r="L18" s="585" t="s">
        <v>1441</v>
      </c>
      <c r="M18" s="585" t="s">
        <v>1442</v>
      </c>
    </row>
    <row r="19" spans="2:13" x14ac:dyDescent="0.3">
      <c r="B19" s="592"/>
      <c r="C19" s="592"/>
      <c r="D19" s="592"/>
      <c r="E19" s="592"/>
      <c r="I19" s="587" t="s">
        <v>1443</v>
      </c>
      <c r="J19" s="603">
        <f>IFERROR(IF('Salida de datos'!F8="g",'Salida de datos'!E8,IF('Salida de datos'!F8="kg",('Salida de datos'!E8)*1000)),"")</f>
        <v>20000</v>
      </c>
      <c r="K19" s="588" t="str">
        <f>IFERROR(IF('Salida de datos'!F8="g",'Salida de datos'!L8,IF('Salida de datos'!F8="kg",('Salida de datos'!L8))),"")</f>
        <v/>
      </c>
      <c r="L19" s="589">
        <f>IF(J19=0,0,IF(J19=$J$6,$L$6,IF(J19=$J$7,$L$7,IF(J19=$J$8,$L$8,IF(J19=$J$9,$L$9,IF(J19=$J$10,$L$10,IF(J19=$J$11,$L$11,IF(J19=$J$12,$L$12,IF(J19=$J$13,$L$13,IF(J19=$J$14,$L$14,))))))))))</f>
        <v>333.3</v>
      </c>
      <c r="M19" s="589" t="b">
        <f>IF(K19=0,0,IF(K19&lt;=L19,L19))</f>
        <v>0</v>
      </c>
    </row>
    <row r="20" spans="2:13" x14ac:dyDescent="0.3">
      <c r="B20" s="592"/>
      <c r="C20" s="592"/>
      <c r="D20" s="592"/>
      <c r="E20" s="592"/>
      <c r="I20" s="587" t="s">
        <v>1444</v>
      </c>
      <c r="J20" s="603">
        <f>IFERROR(IF('Salida de datos'!F9="g",'Salida de datos'!E9,IF('Salida de datos'!F9="kg",('Salida de datos'!E9)*1000)),"")</f>
        <v>0</v>
      </c>
      <c r="K20" s="588" t="str">
        <f>IFERROR(IF('Salida de datos'!F9="g",'Salida de datos'!L9,IF('Salida de datos'!F9="kg",('Salida de datos'!L9))),"")</f>
        <v/>
      </c>
      <c r="L20" s="589">
        <f t="shared" ref="L20:L38" si="0">IF(J20=0,0,IF(J20=$J$6,$L$6,IF(J20=$J$7,$L$7,IF(J20=$J$8,$L$8,IF(J20=$J$9,$L$9,IF(J20=$J$10,$L$10,IF(J20=$J$11,$L$11,IF(J20=$J$12,$L$12,IF(J20=$J$13,$L$13,IF(J20=$J$14,$L$14,))))))))))</f>
        <v>0</v>
      </c>
      <c r="M20" s="589" t="b">
        <f t="shared" ref="M20:M38" si="1">IF(K20=0,0,IF(K20&lt;=L20,L20))</f>
        <v>0</v>
      </c>
    </row>
    <row r="21" spans="2:13" x14ac:dyDescent="0.3">
      <c r="B21" s="592"/>
      <c r="C21" s="592"/>
      <c r="D21" s="592"/>
      <c r="E21" s="592"/>
      <c r="I21" s="587" t="s">
        <v>1445</v>
      </c>
      <c r="J21" s="603">
        <f>IFERROR(IF('Salida de datos'!F10="g",'Salida de datos'!E10,IF('Salida de datos'!F10="kg",('Salida de datos'!E10)*1000)),"")</f>
        <v>0</v>
      </c>
      <c r="K21" s="588" t="str">
        <f>IFERROR(IF('Salida de datos'!F10="g",'Salida de datos'!L10,IF('Salida de datos'!F10="kg",('Salida de datos'!L10))),"")</f>
        <v/>
      </c>
      <c r="L21" s="589">
        <f t="shared" si="0"/>
        <v>0</v>
      </c>
      <c r="M21" s="589" t="b">
        <f t="shared" si="1"/>
        <v>0</v>
      </c>
    </row>
    <row r="22" spans="2:13" x14ac:dyDescent="0.3">
      <c r="B22" s="592"/>
      <c r="C22" s="592"/>
      <c r="D22" s="592"/>
      <c r="E22" s="592"/>
      <c r="I22" s="587" t="s">
        <v>1446</v>
      </c>
      <c r="J22" s="603">
        <f>IFERROR(IF('Salida de datos'!F11="g",'Salida de datos'!E11,IF('Salida de datos'!F11="kg",('Salida de datos'!E11)*1000)),"")</f>
        <v>0</v>
      </c>
      <c r="K22" s="588" t="str">
        <f>IFERROR(IF('Salida de datos'!F11="g",'Salida de datos'!L11,IF('Salida de datos'!F11="kg",('Salida de datos'!L11))),"")</f>
        <v/>
      </c>
      <c r="L22" s="589">
        <f t="shared" si="0"/>
        <v>0</v>
      </c>
      <c r="M22" s="589" t="b">
        <f t="shared" si="1"/>
        <v>0</v>
      </c>
    </row>
    <row r="23" spans="2:13" x14ac:dyDescent="0.3">
      <c r="B23" s="592"/>
      <c r="C23" s="592"/>
      <c r="D23" s="592"/>
      <c r="E23" s="592"/>
      <c r="I23" s="587" t="s">
        <v>1447</v>
      </c>
      <c r="J23" s="603">
        <f>IFERROR(IF('Salida de datos'!F12="g",'Salida de datos'!E12,IF('Salida de datos'!F12="kg",('Salida de datos'!E12)*1000)),"")</f>
        <v>0</v>
      </c>
      <c r="K23" s="588" t="str">
        <f>IFERROR(IF('Salida de datos'!F12="g",'Salida de datos'!L12,IF('Salida de datos'!F12="kg",('Salida de datos'!L12))),"")</f>
        <v/>
      </c>
      <c r="L23" s="589">
        <f t="shared" si="0"/>
        <v>0</v>
      </c>
      <c r="M23" s="589" t="b">
        <f t="shared" si="1"/>
        <v>0</v>
      </c>
    </row>
    <row r="24" spans="2:13" x14ac:dyDescent="0.3">
      <c r="B24" s="592"/>
      <c r="C24" s="592"/>
      <c r="D24" s="592"/>
      <c r="E24" s="592"/>
      <c r="I24" s="587" t="s">
        <v>1448</v>
      </c>
      <c r="J24" s="603">
        <f>IFERROR(IF('Salida de datos'!F13="g",'Salida de datos'!E13,IF('Salida de datos'!F13="kg",('Salida de datos'!E13)*1000)),"")</f>
        <v>0</v>
      </c>
      <c r="K24" s="588" t="str">
        <f>IFERROR(IF('Salida de datos'!F13="g",'Salida de datos'!L13,IF('Salida de datos'!F13="kg",('Salida de datos'!L13))),"")</f>
        <v/>
      </c>
      <c r="L24" s="589">
        <f t="shared" si="0"/>
        <v>0</v>
      </c>
      <c r="M24" s="589" t="b">
        <f t="shared" si="1"/>
        <v>0</v>
      </c>
    </row>
    <row r="25" spans="2:13" x14ac:dyDescent="0.3">
      <c r="B25" s="592"/>
      <c r="C25" s="592"/>
      <c r="D25" s="592"/>
      <c r="E25" s="592"/>
      <c r="I25" s="587" t="s">
        <v>1449</v>
      </c>
      <c r="J25" s="603">
        <f>IFERROR(IF('Salida de datos'!F14="g",'Salida de datos'!E14,IF('Salida de datos'!F14="kg",('Salida de datos'!E14)*1000)),"")</f>
        <v>0</v>
      </c>
      <c r="K25" s="588" t="str">
        <f>IFERROR(IF('Salida de datos'!F14="g",'Salida de datos'!L14,IF('Salida de datos'!F14="kg",('Salida de datos'!L14))),"")</f>
        <v/>
      </c>
      <c r="L25" s="589">
        <f t="shared" si="0"/>
        <v>0</v>
      </c>
      <c r="M25" s="589" t="b">
        <f t="shared" si="1"/>
        <v>0</v>
      </c>
    </row>
    <row r="26" spans="2:13" x14ac:dyDescent="0.3">
      <c r="B26" s="592"/>
      <c r="C26" s="592"/>
      <c r="D26" s="592"/>
      <c r="E26" s="592"/>
      <c r="I26" s="587" t="s">
        <v>1450</v>
      </c>
      <c r="J26" s="603">
        <f>IFERROR(IF('Salida de datos'!F15="g",'Salida de datos'!E15,IF('Salida de datos'!F15="kg",('Salida de datos'!E15)*1000)),"")</f>
        <v>0</v>
      </c>
      <c r="K26" s="588" t="str">
        <f>IFERROR(IF('Salida de datos'!F15="g",'Salida de datos'!L15,IF('Salida de datos'!F15="kg",('Salida de datos'!L15))),"")</f>
        <v/>
      </c>
      <c r="L26" s="589">
        <f t="shared" si="0"/>
        <v>0</v>
      </c>
      <c r="M26" s="589" t="b">
        <f t="shared" si="1"/>
        <v>0</v>
      </c>
    </row>
    <row r="27" spans="2:13" x14ac:dyDescent="0.3">
      <c r="B27" s="592"/>
      <c r="C27" s="592"/>
      <c r="D27" s="592"/>
      <c r="E27" s="592"/>
      <c r="I27" s="587" t="s">
        <v>1451</v>
      </c>
      <c r="J27" s="603">
        <f>IFERROR(IF('Salida de datos'!F16="g",'Salida de datos'!E16,IF('Salida de datos'!F16="kg",('Salida de datos'!E16)*1000)),"")</f>
        <v>0</v>
      </c>
      <c r="K27" s="588" t="str">
        <f>IFERROR(IF('Salida de datos'!F16="g",'Salida de datos'!L16,IF('Salida de datos'!F16="kg",('Salida de datos'!L16))),"")</f>
        <v/>
      </c>
      <c r="L27" s="589">
        <f t="shared" si="0"/>
        <v>0</v>
      </c>
      <c r="M27" s="589" t="b">
        <f t="shared" si="1"/>
        <v>0</v>
      </c>
    </row>
    <row r="28" spans="2:13" x14ac:dyDescent="0.3">
      <c r="B28" s="592"/>
      <c r="C28" s="592"/>
      <c r="D28" s="592"/>
      <c r="E28" s="592"/>
      <c r="I28" s="587" t="s">
        <v>1452</v>
      </c>
      <c r="J28" s="603">
        <f>IFERROR(IF('Salida de datos'!F17="g",'Salida de datos'!E17,IF('Salida de datos'!F17="kg",('Salida de datos'!E17)*1000)),"")</f>
        <v>0</v>
      </c>
      <c r="K28" s="588" t="str">
        <f>IFERROR(IF('Salida de datos'!F17="g",'Salida de datos'!L17,IF('Salida de datos'!F17="kg",('Salida de datos'!L17))),"")</f>
        <v/>
      </c>
      <c r="L28" s="589">
        <f t="shared" si="0"/>
        <v>0</v>
      </c>
      <c r="M28" s="589" t="b">
        <f t="shared" si="1"/>
        <v>0</v>
      </c>
    </row>
    <row r="29" spans="2:13" x14ac:dyDescent="0.3">
      <c r="I29" s="587" t="s">
        <v>1463</v>
      </c>
      <c r="J29" s="603">
        <f>IFERROR(IF('Salida de datos'!F18="g",'Salida de datos'!E18,IF('Salida de datos'!F18="kg",('Salida de datos'!E18)*1000)),"")</f>
        <v>0</v>
      </c>
      <c r="K29" s="588" t="str">
        <f>IFERROR(IF('Salida de datos'!F18="g",'Salida de datos'!L18,IF('Salida de datos'!F18="kg",('Salida de datos'!L18))),"")</f>
        <v/>
      </c>
      <c r="L29" s="589">
        <f t="shared" si="0"/>
        <v>0</v>
      </c>
      <c r="M29" s="589" t="b">
        <f t="shared" si="1"/>
        <v>0</v>
      </c>
    </row>
    <row r="30" spans="2:13" x14ac:dyDescent="0.3">
      <c r="I30" s="587" t="s">
        <v>1464</v>
      </c>
      <c r="J30" s="603">
        <f>IFERROR(IF('Salida de datos'!F19="g",'Salida de datos'!E19,IF('Salida de datos'!F19="kg",('Salida de datos'!E19)*1000)),"")</f>
        <v>0</v>
      </c>
      <c r="K30" s="588" t="str">
        <f>IFERROR(IF('Salida de datos'!F19="g",'Salida de datos'!L19,IF('Salida de datos'!F19="kg",('Salida de datos'!L19))),"")</f>
        <v/>
      </c>
      <c r="L30" s="589">
        <f t="shared" si="0"/>
        <v>0</v>
      </c>
      <c r="M30" s="589" t="b">
        <f t="shared" si="1"/>
        <v>0</v>
      </c>
    </row>
    <row r="31" spans="2:13" x14ac:dyDescent="0.3">
      <c r="I31" s="587" t="s">
        <v>1465</v>
      </c>
      <c r="J31" s="603">
        <f>IFERROR(IF('Salida de datos'!F20="g",'Salida de datos'!E20,IF('Salida de datos'!F20="kg",('Salida de datos'!E20)*1000)),"")</f>
        <v>0</v>
      </c>
      <c r="K31" s="588" t="str">
        <f>IFERROR(IF('Salida de datos'!F20="g",'Salida de datos'!L20,IF('Salida de datos'!F20="kg",('Salida de datos'!L20))),"")</f>
        <v/>
      </c>
      <c r="L31" s="589">
        <f t="shared" si="0"/>
        <v>0</v>
      </c>
      <c r="M31" s="589" t="b">
        <f t="shared" si="1"/>
        <v>0</v>
      </c>
    </row>
    <row r="32" spans="2:13" x14ac:dyDescent="0.3">
      <c r="I32" s="587" t="s">
        <v>1466</v>
      </c>
      <c r="J32" s="603">
        <f>IFERROR(IF('Salida de datos'!F21="g",'Salida de datos'!E21,IF('Salida de datos'!F21="kg",('Salida de datos'!E21)*1000)),"")</f>
        <v>0</v>
      </c>
      <c r="K32" s="588" t="str">
        <f>IFERROR(IF('Salida de datos'!F21="g",'Salida de datos'!L21,IF('Salida de datos'!F21="kg",('Salida de datos'!L21))),"")</f>
        <v/>
      </c>
      <c r="L32" s="589">
        <f t="shared" si="0"/>
        <v>0</v>
      </c>
      <c r="M32" s="589" t="b">
        <f t="shared" si="1"/>
        <v>0</v>
      </c>
    </row>
    <row r="33" spans="9:13" x14ac:dyDescent="0.3">
      <c r="I33" s="587" t="s">
        <v>1467</v>
      </c>
      <c r="J33" s="603">
        <f>IFERROR(IF('Salida de datos'!F22="g",'Salida de datos'!E22,IF('Salida de datos'!F22="kg",('Salida de datos'!E22)*1000)),"")</f>
        <v>0</v>
      </c>
      <c r="K33" s="588" t="str">
        <f>IFERROR(IF('Salida de datos'!F22="g",'Salida de datos'!L22,IF('Salida de datos'!F22="kg",('Salida de datos'!L22))),"")</f>
        <v/>
      </c>
      <c r="L33" s="589">
        <f t="shared" si="0"/>
        <v>0</v>
      </c>
      <c r="M33" s="589" t="b">
        <f t="shared" si="1"/>
        <v>0</v>
      </c>
    </row>
    <row r="34" spans="9:13" x14ac:dyDescent="0.3">
      <c r="I34" s="587" t="s">
        <v>1468</v>
      </c>
      <c r="J34" s="603">
        <f>IFERROR(IF('Salida de datos'!F23="g",'Salida de datos'!E23,IF('Salida de datos'!F23="kg",('Salida de datos'!E23)*1000)),"")</f>
        <v>0</v>
      </c>
      <c r="K34" s="588" t="str">
        <f>IFERROR(IF('Salida de datos'!F23="g",'Salida de datos'!L23,IF('Salida de datos'!F23="kg",('Salida de datos'!L23))),"")</f>
        <v/>
      </c>
      <c r="L34" s="589">
        <f t="shared" si="0"/>
        <v>0</v>
      </c>
      <c r="M34" s="589" t="b">
        <f t="shared" si="1"/>
        <v>0</v>
      </c>
    </row>
    <row r="35" spans="9:13" x14ac:dyDescent="0.3">
      <c r="I35" s="587" t="s">
        <v>1469</v>
      </c>
      <c r="J35" s="603">
        <f>IFERROR(IF('Salida de datos'!F24="g",'Salida de datos'!E24,IF('Salida de datos'!F24="kg",('Salida de datos'!E24)*1000)),"")</f>
        <v>0</v>
      </c>
      <c r="K35" s="588" t="str">
        <f>IFERROR(IF('Salida de datos'!F24="g",'Salida de datos'!L24,IF('Salida de datos'!F24="kg",('Salida de datos'!L24))),"")</f>
        <v/>
      </c>
      <c r="L35" s="589">
        <f t="shared" si="0"/>
        <v>0</v>
      </c>
      <c r="M35" s="589" t="b">
        <f t="shared" si="1"/>
        <v>0</v>
      </c>
    </row>
    <row r="36" spans="9:13" x14ac:dyDescent="0.3">
      <c r="I36" s="587" t="s">
        <v>1470</v>
      </c>
      <c r="J36" s="603">
        <f>IFERROR(IF('Salida de datos'!F25="g",'Salida de datos'!E25,IF('Salida de datos'!F25="kg",('Salida de datos'!E25)*1000)),"")</f>
        <v>0</v>
      </c>
      <c r="K36" s="588" t="str">
        <f>IFERROR(IF('Salida de datos'!F25="g",'Salida de datos'!L25,IF('Salida de datos'!F25="kg",('Salida de datos'!L25))),"")</f>
        <v/>
      </c>
      <c r="L36" s="589">
        <f t="shared" si="0"/>
        <v>0</v>
      </c>
      <c r="M36" s="589" t="b">
        <f t="shared" si="1"/>
        <v>0</v>
      </c>
    </row>
    <row r="37" spans="9:13" x14ac:dyDescent="0.3">
      <c r="I37" s="587" t="s">
        <v>1471</v>
      </c>
      <c r="J37" s="603">
        <f>IFERROR(IF('Salida de datos'!F26="g",'Salida de datos'!E26,IF('Salida de datos'!F26="kg",('Salida de datos'!E26)*1000)),"")</f>
        <v>0</v>
      </c>
      <c r="K37" s="588" t="str">
        <f>IFERROR(IF('Salida de datos'!F26="g",'Salida de datos'!L26,IF('Salida de datos'!F26="kg",('Salida de datos'!L26))),"")</f>
        <v/>
      </c>
      <c r="L37" s="589">
        <f t="shared" si="0"/>
        <v>0</v>
      </c>
      <c r="M37" s="589" t="b">
        <f t="shared" si="1"/>
        <v>0</v>
      </c>
    </row>
    <row r="38" spans="9:13" x14ac:dyDescent="0.3">
      <c r="I38" s="587" t="s">
        <v>1472</v>
      </c>
      <c r="J38" s="603">
        <f>IFERROR(IF('Salida de datos'!F27="g",'Salida de datos'!E27,IF('Salida de datos'!F27="kg",('Salida de datos'!E27)*1000)),"")</f>
        <v>0</v>
      </c>
      <c r="K38" s="588" t="str">
        <f>IFERROR(IF('Salida de datos'!F27="g",'Salida de datos'!L27,IF('Salida de datos'!F27="kg",('Salida de datos'!L27))),"")</f>
        <v/>
      </c>
      <c r="L38" s="589">
        <f t="shared" si="0"/>
        <v>0</v>
      </c>
      <c r="M38" s="589" t="b">
        <f t="shared" si="1"/>
        <v>0</v>
      </c>
    </row>
  </sheetData>
  <mergeCells count="4">
    <mergeCell ref="B3:D3"/>
    <mergeCell ref="I4:J4"/>
    <mergeCell ref="K4:L4"/>
    <mergeCell ref="B5:C5"/>
  </mergeCells>
  <phoneticPr fontId="13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11</vt:i4>
      </vt:variant>
    </vt:vector>
  </HeadingPairs>
  <TitlesOfParts>
    <vt:vector size="39" baseType="lpstr">
      <vt:lpstr>datos</vt:lpstr>
      <vt:lpstr>Salida de datos</vt:lpstr>
      <vt:lpstr>FA Individual (g-mg)</vt:lpstr>
      <vt:lpstr>1 g</vt:lpstr>
      <vt:lpstr>2 g</vt:lpstr>
      <vt:lpstr>2 g.</vt:lpstr>
      <vt:lpstr>5 g</vt:lpstr>
      <vt:lpstr>10 g</vt:lpstr>
      <vt:lpstr>20 g</vt:lpstr>
      <vt:lpstr>20 g,</vt:lpstr>
      <vt:lpstr>50 g</vt:lpstr>
      <vt:lpstr>100 g</vt:lpstr>
      <vt:lpstr>200 g</vt:lpstr>
      <vt:lpstr>200 g.</vt:lpstr>
      <vt:lpstr>500 g</vt:lpstr>
      <vt:lpstr>1 kg</vt:lpstr>
      <vt:lpstr>2 kg</vt:lpstr>
      <vt:lpstr>2 kg.</vt:lpstr>
      <vt:lpstr>5 kg</vt:lpstr>
      <vt:lpstr>10 kg</vt:lpstr>
      <vt:lpstr>20 kg</vt:lpstr>
      <vt:lpstr>20 kg.</vt:lpstr>
      <vt:lpstr>50 kg</vt:lpstr>
      <vt:lpstr>Etiqueta</vt:lpstr>
      <vt:lpstr>DA Individual (g-mg)</vt:lpstr>
      <vt:lpstr>Datos Clientes</vt:lpstr>
      <vt:lpstr>Trazabilidad</vt:lpstr>
      <vt:lpstr>CMC's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2017-10-24T16:01:44Z</dcterms:created>
  <dcterms:modified xsi:type="dcterms:W3CDTF">2025-01-16T17:56:02Z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78390ad5-b749-4cf8-8560-38ab33255365</vt:lpwstr>
  </property>
</Properties>
</file>