
<file path=[Content_Types].xml><?xml version="1.0" encoding="utf-8"?>
<Types xmlns="http://schemas.openxmlformats.org/package/2006/content-types">
  <Override PartName="/xl/revisions/revisionLog1.xml" ContentType="application/vnd.openxmlformats-officedocument.spreadsheetml.revisionLo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10500"/>
  </bookViews>
  <sheets>
    <sheet name="DAIRY QUEEN DORADO" sheetId="1" r:id="rId1"/>
    <sheet name="DAIRY QUEEN SENDERO" sheetId="2" r:id="rId2"/>
    <sheet name="DAIRY QUEEN LOMAS" sheetId="3" r:id="rId3"/>
    <sheet name="DAIRY QUEEN CENTRO" sheetId="4" r:id="rId4"/>
    <sheet name="DAIRY QUEEN VALLES" sheetId="5" r:id="rId5"/>
    <sheet name="DAIRY QUEEN CHAPULTEPEC" sheetId="6" r:id="rId6"/>
    <sheet name="DAIRY QUEEN WTC" sheetId="7" r:id="rId7"/>
    <sheet name="DAIRY QUEEN CONSTRUPLAZA" sheetId="8" r:id="rId8"/>
    <sheet name="DAIRY QUEEN MATEHUALA" sheetId="9" r:id="rId9"/>
    <sheet name="DAIRY QUEEN CARRANZA" sheetId="10" r:id="rId10"/>
    <sheet name="Hoja1" sheetId="11" r:id="rId11"/>
    <sheet name="Hoja2" sheetId="12" r:id="rId12"/>
    <sheet name="Hoja3" sheetId="13" r:id="rId13"/>
  </sheets>
  <calcPr calcId="124519"/>
  <customWorkbookViews>
    <customWorkbookView name="Usuario de Windows - Vista personalizada" guid="{2443864E-3EC0-42CB-9BCC-E86B96EC82D4}" mergeInterval="0" personalView="1" maximized="1" xWindow="1" yWindow="1" windowWidth="1366" windowHeight="710" activeSheetId="1"/>
  </customWorkbookViews>
</workbook>
</file>

<file path=xl/calcChain.xml><?xml version="1.0" encoding="utf-8"?>
<calcChain xmlns="http://schemas.openxmlformats.org/spreadsheetml/2006/main">
  <c r="I81" i="1"/>
  <c r="J81" s="1"/>
  <c r="D81"/>
  <c r="K80"/>
  <c r="H80"/>
  <c r="D80"/>
  <c r="K79"/>
  <c r="H79"/>
  <c r="D79"/>
  <c r="K78"/>
  <c r="H78"/>
  <c r="D78"/>
  <c r="K77"/>
  <c r="H77"/>
  <c r="D77"/>
  <c r="K76"/>
  <c r="H76"/>
  <c r="D76"/>
  <c r="K75"/>
  <c r="H75"/>
  <c r="D75"/>
  <c r="K74"/>
  <c r="H74"/>
  <c r="K73"/>
  <c r="H73"/>
  <c r="D73"/>
  <c r="K72"/>
  <c r="H72"/>
  <c r="D72"/>
  <c r="K71"/>
  <c r="H71"/>
  <c r="D71"/>
  <c r="H70"/>
  <c r="D70"/>
  <c r="K69"/>
  <c r="H69"/>
  <c r="D69"/>
  <c r="K68"/>
  <c r="H68"/>
  <c r="D68"/>
  <c r="K67"/>
  <c r="H67"/>
  <c r="D67"/>
  <c r="K66"/>
  <c r="H66"/>
  <c r="K65"/>
  <c r="H65"/>
  <c r="K64"/>
  <c r="H64"/>
  <c r="K63"/>
  <c r="H63"/>
  <c r="K57"/>
  <c r="H57"/>
  <c r="G57"/>
  <c r="K55"/>
  <c r="J55"/>
  <c r="J57" s="1"/>
  <c r="I55"/>
  <c r="I57" s="1"/>
  <c r="I58" s="1"/>
  <c r="H55"/>
  <c r="G55"/>
  <c r="C47"/>
  <c r="K46"/>
  <c r="H46"/>
  <c r="G46"/>
  <c r="G47" s="1"/>
  <c r="K44"/>
  <c r="J44"/>
  <c r="J46" s="1"/>
  <c r="J47" s="1"/>
  <c r="I44"/>
  <c r="I46" s="1"/>
  <c r="H44"/>
  <c r="G44"/>
  <c r="C43"/>
  <c r="C45" s="1"/>
  <c r="G36"/>
  <c r="G35"/>
  <c r="G34"/>
  <c r="G33"/>
  <c r="H31"/>
  <c r="K31" s="1"/>
  <c r="G31"/>
  <c r="H27"/>
  <c r="I26"/>
  <c r="G27"/>
  <c r="C25"/>
  <c r="I24"/>
  <c r="I23"/>
  <c r="I22"/>
  <c r="I21"/>
  <c r="D21"/>
  <c r="I20"/>
  <c r="D20"/>
  <c r="I19"/>
  <c r="I18"/>
  <c r="I17"/>
  <c r="I16"/>
  <c r="I15"/>
  <c r="C15"/>
  <c r="I14"/>
  <c r="I13"/>
  <c r="C13"/>
  <c r="I12"/>
  <c r="I11"/>
  <c r="D11"/>
  <c r="I10"/>
  <c r="C10"/>
  <c r="D10" s="1"/>
  <c r="I9"/>
  <c r="C9"/>
  <c r="C12" s="1"/>
  <c r="I8"/>
  <c r="H47" s="1"/>
  <c r="D8"/>
  <c r="J81" i="2"/>
  <c r="I81"/>
  <c r="D81"/>
  <c r="K80"/>
  <c r="H80"/>
  <c r="D80"/>
  <c r="K79"/>
  <c r="H79"/>
  <c r="D79"/>
  <c r="K78"/>
  <c r="H78"/>
  <c r="D78"/>
  <c r="K77"/>
  <c r="H77"/>
  <c r="D77"/>
  <c r="K76"/>
  <c r="H76"/>
  <c r="D76"/>
  <c r="K75"/>
  <c r="H75"/>
  <c r="D75"/>
  <c r="K74"/>
  <c r="H74"/>
  <c r="K73"/>
  <c r="H73"/>
  <c r="D73"/>
  <c r="K72"/>
  <c r="H72"/>
  <c r="D72"/>
  <c r="K71"/>
  <c r="H71"/>
  <c r="D71"/>
  <c r="H70"/>
  <c r="D70"/>
  <c r="K69"/>
  <c r="H69"/>
  <c r="D69"/>
  <c r="K68"/>
  <c r="H68"/>
  <c r="D68"/>
  <c r="K67"/>
  <c r="H67"/>
  <c r="D67"/>
  <c r="K66"/>
  <c r="H66"/>
  <c r="K65"/>
  <c r="H65"/>
  <c r="K64"/>
  <c r="H64"/>
  <c r="K63"/>
  <c r="H63"/>
  <c r="H57"/>
  <c r="K55"/>
  <c r="K57" s="1"/>
  <c r="J55"/>
  <c r="J57" s="1"/>
  <c r="I55"/>
  <c r="I57" s="1"/>
  <c r="H55"/>
  <c r="G55"/>
  <c r="G57" s="1"/>
  <c r="C47"/>
  <c r="H46"/>
  <c r="K44"/>
  <c r="K46" s="1"/>
  <c r="J44"/>
  <c r="J46" s="1"/>
  <c r="I44"/>
  <c r="I46" s="1"/>
  <c r="H44"/>
  <c r="G44"/>
  <c r="G46" s="1"/>
  <c r="C43"/>
  <c r="C45" s="1"/>
  <c r="G36"/>
  <c r="G35"/>
  <c r="G34"/>
  <c r="G33"/>
  <c r="H31"/>
  <c r="G31"/>
  <c r="H27"/>
  <c r="I26"/>
  <c r="I25"/>
  <c r="G27"/>
  <c r="C25"/>
  <c r="I24"/>
  <c r="I23"/>
  <c r="I22"/>
  <c r="I21"/>
  <c r="D21"/>
  <c r="I20"/>
  <c r="D20"/>
  <c r="I19"/>
  <c r="I18"/>
  <c r="I17"/>
  <c r="I16"/>
  <c r="I15"/>
  <c r="C15"/>
  <c r="I14"/>
  <c r="I13"/>
  <c r="C13"/>
  <c r="I12"/>
  <c r="I11"/>
  <c r="D11"/>
  <c r="I10"/>
  <c r="D10"/>
  <c r="C10"/>
  <c r="I9"/>
  <c r="C9"/>
  <c r="C12" s="1"/>
  <c r="I8"/>
  <c r="D8"/>
  <c r="J81" i="3"/>
  <c r="I81"/>
  <c r="D81"/>
  <c r="K80"/>
  <c r="H80"/>
  <c r="D80"/>
  <c r="K79"/>
  <c r="H79"/>
  <c r="D79"/>
  <c r="K78"/>
  <c r="H78"/>
  <c r="D78"/>
  <c r="K77"/>
  <c r="H77"/>
  <c r="D77"/>
  <c r="K76"/>
  <c r="H76"/>
  <c r="D76"/>
  <c r="K75"/>
  <c r="H75"/>
  <c r="D75"/>
  <c r="K74"/>
  <c r="H74"/>
  <c r="K73"/>
  <c r="H73"/>
  <c r="D73"/>
  <c r="K72"/>
  <c r="H72"/>
  <c r="D72"/>
  <c r="K71"/>
  <c r="H71"/>
  <c r="D71"/>
  <c r="H70"/>
  <c r="D70"/>
  <c r="K69"/>
  <c r="H69"/>
  <c r="D69"/>
  <c r="K68"/>
  <c r="H68"/>
  <c r="D68"/>
  <c r="K67"/>
  <c r="H67"/>
  <c r="D67"/>
  <c r="K66"/>
  <c r="H66"/>
  <c r="K65"/>
  <c r="H65"/>
  <c r="K64"/>
  <c r="H64"/>
  <c r="K63"/>
  <c r="H63"/>
  <c r="H57"/>
  <c r="K55"/>
  <c r="K57" s="1"/>
  <c r="J55"/>
  <c r="J57" s="1"/>
  <c r="I55"/>
  <c r="I57" s="1"/>
  <c r="H55"/>
  <c r="G55"/>
  <c r="G57" s="1"/>
  <c r="C47"/>
  <c r="H46"/>
  <c r="K44"/>
  <c r="K46" s="1"/>
  <c r="J44"/>
  <c r="J46" s="1"/>
  <c r="I44"/>
  <c r="I46" s="1"/>
  <c r="I47" s="1"/>
  <c r="H44"/>
  <c r="G44"/>
  <c r="G46" s="1"/>
  <c r="C43"/>
  <c r="C45" s="1"/>
  <c r="G36"/>
  <c r="G35"/>
  <c r="G34"/>
  <c r="G33"/>
  <c r="H31"/>
  <c r="G31"/>
  <c r="H27"/>
  <c r="I26"/>
  <c r="I25"/>
  <c r="G27"/>
  <c r="C25"/>
  <c r="I24"/>
  <c r="I23"/>
  <c r="I22"/>
  <c r="I21"/>
  <c r="D21"/>
  <c r="I20"/>
  <c r="D20"/>
  <c r="I19"/>
  <c r="I18"/>
  <c r="I17"/>
  <c r="I16"/>
  <c r="I15"/>
  <c r="C15"/>
  <c r="I14"/>
  <c r="I13"/>
  <c r="C13"/>
  <c r="I12"/>
  <c r="I11"/>
  <c r="D11"/>
  <c r="I10"/>
  <c r="C10"/>
  <c r="D10" s="1"/>
  <c r="I9"/>
  <c r="C9"/>
  <c r="C12" s="1"/>
  <c r="D64" s="1"/>
  <c r="I8"/>
  <c r="D8"/>
  <c r="J81" i="4"/>
  <c r="I81"/>
  <c r="D81"/>
  <c r="K80"/>
  <c r="H80"/>
  <c r="D80"/>
  <c r="K79"/>
  <c r="H79"/>
  <c r="D79"/>
  <c r="K78"/>
  <c r="H78"/>
  <c r="D78"/>
  <c r="K77"/>
  <c r="H77"/>
  <c r="D77"/>
  <c r="K76"/>
  <c r="H76"/>
  <c r="D76"/>
  <c r="K75"/>
  <c r="H75"/>
  <c r="D75"/>
  <c r="K74"/>
  <c r="H74"/>
  <c r="K73"/>
  <c r="H73"/>
  <c r="D73"/>
  <c r="K72"/>
  <c r="H72"/>
  <c r="D72"/>
  <c r="K71"/>
  <c r="H71"/>
  <c r="D71"/>
  <c r="H70"/>
  <c r="D70"/>
  <c r="K69"/>
  <c r="H69"/>
  <c r="D69"/>
  <c r="K68"/>
  <c r="H68"/>
  <c r="D68"/>
  <c r="K67"/>
  <c r="H67"/>
  <c r="D67"/>
  <c r="K66"/>
  <c r="H66"/>
  <c r="K65"/>
  <c r="H65"/>
  <c r="K64"/>
  <c r="H64"/>
  <c r="K63"/>
  <c r="H63"/>
  <c r="H57"/>
  <c r="K55"/>
  <c r="K57" s="1"/>
  <c r="J55"/>
  <c r="J57" s="1"/>
  <c r="I55"/>
  <c r="I57" s="1"/>
  <c r="I58" s="1"/>
  <c r="H55"/>
  <c r="G55"/>
  <c r="G57" s="1"/>
  <c r="C47"/>
  <c r="H46"/>
  <c r="K44"/>
  <c r="K46" s="1"/>
  <c r="J44"/>
  <c r="J46" s="1"/>
  <c r="I44"/>
  <c r="I46" s="1"/>
  <c r="H44"/>
  <c r="G44"/>
  <c r="G46" s="1"/>
  <c r="C43"/>
  <c r="C45" s="1"/>
  <c r="G36"/>
  <c r="G35"/>
  <c r="G34"/>
  <c r="G33"/>
  <c r="H31"/>
  <c r="G31"/>
  <c r="H27"/>
  <c r="I26"/>
  <c r="I25"/>
  <c r="G27"/>
  <c r="C25"/>
  <c r="I24"/>
  <c r="I23"/>
  <c r="I22"/>
  <c r="I21"/>
  <c r="D21"/>
  <c r="I20"/>
  <c r="D20"/>
  <c r="I19"/>
  <c r="I18"/>
  <c r="I17"/>
  <c r="I16"/>
  <c r="I15"/>
  <c r="C15"/>
  <c r="I14"/>
  <c r="I13"/>
  <c r="C13"/>
  <c r="I12"/>
  <c r="I11"/>
  <c r="D11"/>
  <c r="I10"/>
  <c r="C10"/>
  <c r="D10" s="1"/>
  <c r="I9"/>
  <c r="C9"/>
  <c r="C12" s="1"/>
  <c r="I8"/>
  <c r="D8"/>
  <c r="J81" i="5"/>
  <c r="I81"/>
  <c r="D81"/>
  <c r="K80"/>
  <c r="H80"/>
  <c r="D80"/>
  <c r="K79"/>
  <c r="H79"/>
  <c r="D79"/>
  <c r="K78"/>
  <c r="H78"/>
  <c r="D78"/>
  <c r="K77"/>
  <c r="H77"/>
  <c r="D77"/>
  <c r="K76"/>
  <c r="H76"/>
  <c r="D76"/>
  <c r="K75"/>
  <c r="H75"/>
  <c r="D75"/>
  <c r="K74"/>
  <c r="H74"/>
  <c r="K73"/>
  <c r="H73"/>
  <c r="D73"/>
  <c r="K72"/>
  <c r="H72"/>
  <c r="D72"/>
  <c r="K71"/>
  <c r="H71"/>
  <c r="D71"/>
  <c r="H70"/>
  <c r="D70"/>
  <c r="K69"/>
  <c r="H69"/>
  <c r="D69"/>
  <c r="K68"/>
  <c r="H68"/>
  <c r="D68"/>
  <c r="K67"/>
  <c r="H67"/>
  <c r="D67"/>
  <c r="K66"/>
  <c r="H66"/>
  <c r="K65"/>
  <c r="H65"/>
  <c r="K64"/>
  <c r="H64"/>
  <c r="K63"/>
  <c r="H63"/>
  <c r="H57"/>
  <c r="K55"/>
  <c r="K57" s="1"/>
  <c r="J55"/>
  <c r="J57" s="1"/>
  <c r="I55"/>
  <c r="I57" s="1"/>
  <c r="H55"/>
  <c r="G55"/>
  <c r="G57" s="1"/>
  <c r="C47"/>
  <c r="J46"/>
  <c r="H46"/>
  <c r="K44"/>
  <c r="K46" s="1"/>
  <c r="J44"/>
  <c r="I44"/>
  <c r="I46" s="1"/>
  <c r="H44"/>
  <c r="G44"/>
  <c r="G46" s="1"/>
  <c r="C43"/>
  <c r="C45" s="1"/>
  <c r="G36"/>
  <c r="G35"/>
  <c r="G34"/>
  <c r="G33"/>
  <c r="H31"/>
  <c r="G31"/>
  <c r="J31" s="1"/>
  <c r="H27"/>
  <c r="I26"/>
  <c r="I25"/>
  <c r="G27"/>
  <c r="C25"/>
  <c r="I24"/>
  <c r="I23"/>
  <c r="I22"/>
  <c r="I21"/>
  <c r="D21"/>
  <c r="I20"/>
  <c r="D20"/>
  <c r="I19"/>
  <c r="I18"/>
  <c r="I17"/>
  <c r="I16"/>
  <c r="I15"/>
  <c r="C15"/>
  <c r="I14"/>
  <c r="I13"/>
  <c r="C13"/>
  <c r="I12"/>
  <c r="I11"/>
  <c r="D11"/>
  <c r="I10"/>
  <c r="D10"/>
  <c r="C10"/>
  <c r="I9"/>
  <c r="C9"/>
  <c r="C12" s="1"/>
  <c r="I8"/>
  <c r="D8"/>
  <c r="J81" i="6"/>
  <c r="I81"/>
  <c r="D81"/>
  <c r="K80"/>
  <c r="H80"/>
  <c r="D80"/>
  <c r="K79"/>
  <c r="H79"/>
  <c r="D79"/>
  <c r="K78"/>
  <c r="H78"/>
  <c r="D78"/>
  <c r="K77"/>
  <c r="H77"/>
  <c r="D77"/>
  <c r="K76"/>
  <c r="H76"/>
  <c r="D76"/>
  <c r="K75"/>
  <c r="H75"/>
  <c r="D75"/>
  <c r="K74"/>
  <c r="H74"/>
  <c r="K73"/>
  <c r="H73"/>
  <c r="D73"/>
  <c r="K72"/>
  <c r="H72"/>
  <c r="D72"/>
  <c r="K71"/>
  <c r="H71"/>
  <c r="D71"/>
  <c r="H70"/>
  <c r="D70"/>
  <c r="K69"/>
  <c r="H69"/>
  <c r="D69"/>
  <c r="K68"/>
  <c r="H68"/>
  <c r="D68"/>
  <c r="K67"/>
  <c r="H67"/>
  <c r="D67"/>
  <c r="K66"/>
  <c r="H66"/>
  <c r="K65"/>
  <c r="H65"/>
  <c r="K64"/>
  <c r="H64"/>
  <c r="K63"/>
  <c r="H63"/>
  <c r="H57"/>
  <c r="H58" s="1"/>
  <c r="K55"/>
  <c r="K57" s="1"/>
  <c r="J55"/>
  <c r="J57" s="1"/>
  <c r="I55"/>
  <c r="I57" s="1"/>
  <c r="H55"/>
  <c r="G55"/>
  <c r="G57" s="1"/>
  <c r="C47"/>
  <c r="H46"/>
  <c r="K44"/>
  <c r="K46" s="1"/>
  <c r="K47" s="1"/>
  <c r="J44"/>
  <c r="J46" s="1"/>
  <c r="I44"/>
  <c r="I46" s="1"/>
  <c r="H44"/>
  <c r="G44"/>
  <c r="G46" s="1"/>
  <c r="C43"/>
  <c r="C45" s="1"/>
  <c r="G36"/>
  <c r="G35"/>
  <c r="G34"/>
  <c r="G33"/>
  <c r="H31"/>
  <c r="G31"/>
  <c r="H27"/>
  <c r="I26"/>
  <c r="I25"/>
  <c r="G27"/>
  <c r="C25"/>
  <c r="I24"/>
  <c r="I23"/>
  <c r="I22"/>
  <c r="I21"/>
  <c r="D21"/>
  <c r="I20"/>
  <c r="D20"/>
  <c r="I19"/>
  <c r="I18"/>
  <c r="I17"/>
  <c r="I16"/>
  <c r="I15"/>
  <c r="C15"/>
  <c r="I14"/>
  <c r="I13"/>
  <c r="C13"/>
  <c r="I12"/>
  <c r="I11"/>
  <c r="D11"/>
  <c r="I10"/>
  <c r="C10"/>
  <c r="D10" s="1"/>
  <c r="I9"/>
  <c r="C9"/>
  <c r="C12" s="1"/>
  <c r="I8"/>
  <c r="D8"/>
  <c r="I81" i="7"/>
  <c r="J81" s="1"/>
  <c r="D81"/>
  <c r="K80"/>
  <c r="H80"/>
  <c r="D80"/>
  <c r="K79"/>
  <c r="H79"/>
  <c r="D79"/>
  <c r="K78"/>
  <c r="H78"/>
  <c r="D78"/>
  <c r="K77"/>
  <c r="H77"/>
  <c r="D77"/>
  <c r="K76"/>
  <c r="H76"/>
  <c r="D76"/>
  <c r="K75"/>
  <c r="H75"/>
  <c r="D75"/>
  <c r="K74"/>
  <c r="H74"/>
  <c r="K73"/>
  <c r="H73"/>
  <c r="D73"/>
  <c r="K72"/>
  <c r="H72"/>
  <c r="D72"/>
  <c r="K71"/>
  <c r="H71"/>
  <c r="D71"/>
  <c r="H70"/>
  <c r="D70"/>
  <c r="K69"/>
  <c r="H69"/>
  <c r="D69"/>
  <c r="K68"/>
  <c r="H68"/>
  <c r="D68"/>
  <c r="K67"/>
  <c r="H67"/>
  <c r="D67"/>
  <c r="K66"/>
  <c r="H66"/>
  <c r="K65"/>
  <c r="H65"/>
  <c r="K64"/>
  <c r="H64"/>
  <c r="K63"/>
  <c r="H63"/>
  <c r="H57"/>
  <c r="K55"/>
  <c r="K57" s="1"/>
  <c r="J55"/>
  <c r="J57" s="1"/>
  <c r="I55"/>
  <c r="I57" s="1"/>
  <c r="I58" s="1"/>
  <c r="H55"/>
  <c r="G55"/>
  <c r="G57" s="1"/>
  <c r="C47"/>
  <c r="H46"/>
  <c r="K44"/>
  <c r="K46" s="1"/>
  <c r="J44"/>
  <c r="J46" s="1"/>
  <c r="I44"/>
  <c r="I46" s="1"/>
  <c r="H44"/>
  <c r="G44"/>
  <c r="G46" s="1"/>
  <c r="C43"/>
  <c r="C45" s="1"/>
  <c r="G36"/>
  <c r="G35"/>
  <c r="G34"/>
  <c r="G33"/>
  <c r="H31"/>
  <c r="G31"/>
  <c r="J31" s="1"/>
  <c r="H27"/>
  <c r="I26"/>
  <c r="G27"/>
  <c r="C25"/>
  <c r="I24"/>
  <c r="I23"/>
  <c r="I22"/>
  <c r="I21"/>
  <c r="D21"/>
  <c r="I20"/>
  <c r="D20"/>
  <c r="I19"/>
  <c r="I18"/>
  <c r="I17"/>
  <c r="I16"/>
  <c r="I15"/>
  <c r="C15"/>
  <c r="I14"/>
  <c r="I13"/>
  <c r="C13"/>
  <c r="I12"/>
  <c r="C12"/>
  <c r="D64" s="1"/>
  <c r="I11"/>
  <c r="D11"/>
  <c r="I10"/>
  <c r="C10"/>
  <c r="D10" s="1"/>
  <c r="I9"/>
  <c r="C9"/>
  <c r="I8"/>
  <c r="D8"/>
  <c r="J81" i="8"/>
  <c r="I81"/>
  <c r="D81"/>
  <c r="K80"/>
  <c r="H80"/>
  <c r="D80"/>
  <c r="K79"/>
  <c r="H79"/>
  <c r="D79"/>
  <c r="K78"/>
  <c r="H78"/>
  <c r="D78"/>
  <c r="K77"/>
  <c r="H77"/>
  <c r="D77"/>
  <c r="K76"/>
  <c r="H76"/>
  <c r="D76"/>
  <c r="K75"/>
  <c r="H75"/>
  <c r="D75"/>
  <c r="K74"/>
  <c r="H74"/>
  <c r="K73"/>
  <c r="H73"/>
  <c r="D73"/>
  <c r="K72"/>
  <c r="H72"/>
  <c r="D72"/>
  <c r="K71"/>
  <c r="H71"/>
  <c r="D71"/>
  <c r="H70"/>
  <c r="D70"/>
  <c r="K69"/>
  <c r="H69"/>
  <c r="D69"/>
  <c r="K68"/>
  <c r="H68"/>
  <c r="D68"/>
  <c r="K67"/>
  <c r="H67"/>
  <c r="D67"/>
  <c r="K66"/>
  <c r="H66"/>
  <c r="K65"/>
  <c r="H65"/>
  <c r="K64"/>
  <c r="H64"/>
  <c r="K63"/>
  <c r="H63"/>
  <c r="H57"/>
  <c r="K55"/>
  <c r="K57" s="1"/>
  <c r="J55"/>
  <c r="J57" s="1"/>
  <c r="I55"/>
  <c r="I57" s="1"/>
  <c r="H55"/>
  <c r="G55"/>
  <c r="G57" s="1"/>
  <c r="C47"/>
  <c r="I46"/>
  <c r="H46"/>
  <c r="H47" s="1"/>
  <c r="K44"/>
  <c r="K46" s="1"/>
  <c r="J44"/>
  <c r="J46" s="1"/>
  <c r="J47" s="1"/>
  <c r="I44"/>
  <c r="H44"/>
  <c r="G44"/>
  <c r="G46" s="1"/>
  <c r="C43"/>
  <c r="C45" s="1"/>
  <c r="C51" s="1"/>
  <c r="G36"/>
  <c r="G35"/>
  <c r="G34"/>
  <c r="G33"/>
  <c r="H31"/>
  <c r="G31"/>
  <c r="H27"/>
  <c r="G27"/>
  <c r="I26"/>
  <c r="I25"/>
  <c r="C25"/>
  <c r="I24"/>
  <c r="I23"/>
  <c r="I22"/>
  <c r="I21"/>
  <c r="D21"/>
  <c r="I20"/>
  <c r="D20"/>
  <c r="I19"/>
  <c r="I18"/>
  <c r="I17"/>
  <c r="I16"/>
  <c r="I15"/>
  <c r="C15"/>
  <c r="I14"/>
  <c r="I13"/>
  <c r="C13"/>
  <c r="I12"/>
  <c r="C12"/>
  <c r="D64" s="1"/>
  <c r="I11"/>
  <c r="D11"/>
  <c r="I10"/>
  <c r="C10"/>
  <c r="D10" s="1"/>
  <c r="I9"/>
  <c r="C9"/>
  <c r="I8"/>
  <c r="I47" s="1"/>
  <c r="D8"/>
  <c r="J81" i="9"/>
  <c r="I81"/>
  <c r="D81"/>
  <c r="K80"/>
  <c r="H80"/>
  <c r="D80"/>
  <c r="K79"/>
  <c r="H79"/>
  <c r="D79"/>
  <c r="K78"/>
  <c r="H78"/>
  <c r="D78"/>
  <c r="K77"/>
  <c r="H77"/>
  <c r="D77"/>
  <c r="K76"/>
  <c r="H76"/>
  <c r="D76"/>
  <c r="K75"/>
  <c r="H75"/>
  <c r="D75"/>
  <c r="K74"/>
  <c r="H74"/>
  <c r="K73"/>
  <c r="H73"/>
  <c r="D73"/>
  <c r="K72"/>
  <c r="H72"/>
  <c r="D72"/>
  <c r="K71"/>
  <c r="H71"/>
  <c r="D71"/>
  <c r="H70"/>
  <c r="D70"/>
  <c r="K69"/>
  <c r="H69"/>
  <c r="D69"/>
  <c r="K68"/>
  <c r="H68"/>
  <c r="D68"/>
  <c r="K67"/>
  <c r="H67"/>
  <c r="D67"/>
  <c r="K66"/>
  <c r="H66"/>
  <c r="K65"/>
  <c r="H65"/>
  <c r="K64"/>
  <c r="H64"/>
  <c r="K63"/>
  <c r="H63"/>
  <c r="J57"/>
  <c r="H57"/>
  <c r="K55"/>
  <c r="K57" s="1"/>
  <c r="K58" s="1"/>
  <c r="J55"/>
  <c r="I55"/>
  <c r="I57" s="1"/>
  <c r="H55"/>
  <c r="G55"/>
  <c r="G57" s="1"/>
  <c r="C47"/>
  <c r="J46"/>
  <c r="H46"/>
  <c r="H47" s="1"/>
  <c r="K44"/>
  <c r="K46" s="1"/>
  <c r="K47" s="1"/>
  <c r="J44"/>
  <c r="I44"/>
  <c r="I46" s="1"/>
  <c r="H44"/>
  <c r="G44"/>
  <c r="G46" s="1"/>
  <c r="C43"/>
  <c r="C45" s="1"/>
  <c r="G36"/>
  <c r="G35"/>
  <c r="G34"/>
  <c r="G33"/>
  <c r="H31"/>
  <c r="G31"/>
  <c r="H27"/>
  <c r="I26"/>
  <c r="I25"/>
  <c r="G27"/>
  <c r="C25"/>
  <c r="I24"/>
  <c r="I23"/>
  <c r="I22"/>
  <c r="I21"/>
  <c r="D21"/>
  <c r="I20"/>
  <c r="D20"/>
  <c r="I19"/>
  <c r="I18"/>
  <c r="I17"/>
  <c r="I16"/>
  <c r="I15"/>
  <c r="C15"/>
  <c r="I14"/>
  <c r="I13"/>
  <c r="C13"/>
  <c r="I12"/>
  <c r="I11"/>
  <c r="J58" s="1"/>
  <c r="D11"/>
  <c r="I10"/>
  <c r="C10"/>
  <c r="D10" s="1"/>
  <c r="I9"/>
  <c r="C9"/>
  <c r="C12" s="1"/>
  <c r="D64" s="1"/>
  <c r="I8"/>
  <c r="D8"/>
  <c r="I81" i="10"/>
  <c r="J81" s="1"/>
  <c r="D81"/>
  <c r="K80"/>
  <c r="H80"/>
  <c r="D80"/>
  <c r="K79"/>
  <c r="H79"/>
  <c r="D79"/>
  <c r="K78"/>
  <c r="H78"/>
  <c r="D78"/>
  <c r="K77"/>
  <c r="H77"/>
  <c r="D77"/>
  <c r="K76"/>
  <c r="H76"/>
  <c r="D76"/>
  <c r="K75"/>
  <c r="H75"/>
  <c r="D75"/>
  <c r="K74"/>
  <c r="H74"/>
  <c r="K73"/>
  <c r="H73"/>
  <c r="D73"/>
  <c r="K72"/>
  <c r="H72"/>
  <c r="D72"/>
  <c r="K71"/>
  <c r="H71"/>
  <c r="D71"/>
  <c r="H70"/>
  <c r="D70"/>
  <c r="K69"/>
  <c r="H69"/>
  <c r="D69"/>
  <c r="K68"/>
  <c r="H68"/>
  <c r="D68"/>
  <c r="K67"/>
  <c r="H67"/>
  <c r="D67"/>
  <c r="K66"/>
  <c r="H66"/>
  <c r="K65"/>
  <c r="H65"/>
  <c r="K64"/>
  <c r="H64"/>
  <c r="K63"/>
  <c r="H63"/>
  <c r="K57"/>
  <c r="G57"/>
  <c r="K55"/>
  <c r="J55"/>
  <c r="J57" s="1"/>
  <c r="I55"/>
  <c r="I57" s="1"/>
  <c r="H55"/>
  <c r="H57" s="1"/>
  <c r="G55"/>
  <c r="C47"/>
  <c r="K46"/>
  <c r="G46"/>
  <c r="K44"/>
  <c r="J44"/>
  <c r="J46" s="1"/>
  <c r="I44"/>
  <c r="I46" s="1"/>
  <c r="H44"/>
  <c r="H46" s="1"/>
  <c r="G44"/>
  <c r="C43"/>
  <c r="C45" s="1"/>
  <c r="G36"/>
  <c r="G35"/>
  <c r="G34"/>
  <c r="G33"/>
  <c r="H31"/>
  <c r="G31"/>
  <c r="H27"/>
  <c r="I26"/>
  <c r="G27"/>
  <c r="C25"/>
  <c r="I24"/>
  <c r="I23"/>
  <c r="I22"/>
  <c r="I21"/>
  <c r="D21"/>
  <c r="I20"/>
  <c r="D20"/>
  <c r="I19"/>
  <c r="I18"/>
  <c r="I17"/>
  <c r="I16"/>
  <c r="I15"/>
  <c r="C15"/>
  <c r="I14"/>
  <c r="I13"/>
  <c r="C13"/>
  <c r="I12"/>
  <c r="I11"/>
  <c r="D11"/>
  <c r="I10"/>
  <c r="C10"/>
  <c r="D10" s="1"/>
  <c r="I9"/>
  <c r="C9"/>
  <c r="C12" s="1"/>
  <c r="D64" s="1"/>
  <c r="I8"/>
  <c r="D8"/>
  <c r="G58" i="1" l="1"/>
  <c r="K47"/>
  <c r="I27"/>
  <c r="H58"/>
  <c r="K58"/>
  <c r="J58"/>
  <c r="I47"/>
  <c r="J31"/>
  <c r="D15"/>
  <c r="D64"/>
  <c r="D62"/>
  <c r="G30"/>
  <c r="J25"/>
  <c r="J23"/>
  <c r="J19"/>
  <c r="D18"/>
  <c r="J16"/>
  <c r="J8"/>
  <c r="D63"/>
  <c r="D59"/>
  <c r="J22"/>
  <c r="D17"/>
  <c r="J15"/>
  <c r="J14"/>
  <c r="J13"/>
  <c r="J12"/>
  <c r="D60"/>
  <c r="D55"/>
  <c r="D52"/>
  <c r="J21"/>
  <c r="J18"/>
  <c r="D16"/>
  <c r="C14"/>
  <c r="D14" s="1"/>
  <c r="J11"/>
  <c r="B65"/>
  <c r="D61"/>
  <c r="D58"/>
  <c r="D53"/>
  <c r="H37"/>
  <c r="J26"/>
  <c r="J24"/>
  <c r="C22"/>
  <c r="J20"/>
  <c r="J17"/>
  <c r="J10"/>
  <c r="J9"/>
  <c r="D47"/>
  <c r="C51"/>
  <c r="D45"/>
  <c r="C48"/>
  <c r="G37"/>
  <c r="D13"/>
  <c r="I25"/>
  <c r="I27" i="2"/>
  <c r="G58"/>
  <c r="K47"/>
  <c r="I58"/>
  <c r="H58"/>
  <c r="K58"/>
  <c r="J58"/>
  <c r="G47"/>
  <c r="J47"/>
  <c r="I47"/>
  <c r="H47"/>
  <c r="K31"/>
  <c r="D64"/>
  <c r="J9"/>
  <c r="D47"/>
  <c r="C51"/>
  <c r="D45"/>
  <c r="C48"/>
  <c r="G37"/>
  <c r="J10"/>
  <c r="D13"/>
  <c r="D15"/>
  <c r="J24"/>
  <c r="H37"/>
  <c r="D53"/>
  <c r="D16"/>
  <c r="D55"/>
  <c r="J12"/>
  <c r="J13"/>
  <c r="J14"/>
  <c r="J15"/>
  <c r="D17"/>
  <c r="J22"/>
  <c r="J31"/>
  <c r="D59"/>
  <c r="D63"/>
  <c r="J17"/>
  <c r="J20"/>
  <c r="C22"/>
  <c r="J26"/>
  <c r="D58"/>
  <c r="D61"/>
  <c r="B65"/>
  <c r="J11"/>
  <c r="C14"/>
  <c r="D14" s="1"/>
  <c r="J18"/>
  <c r="J21"/>
  <c r="D52"/>
  <c r="D60"/>
  <c r="J8"/>
  <c r="J16"/>
  <c r="D18"/>
  <c r="J19"/>
  <c r="J23"/>
  <c r="J25"/>
  <c r="G30"/>
  <c r="D62"/>
  <c r="I27" i="3"/>
  <c r="G58"/>
  <c r="K47"/>
  <c r="I58"/>
  <c r="H58"/>
  <c r="K58"/>
  <c r="J58"/>
  <c r="G47"/>
  <c r="J47"/>
  <c r="H47"/>
  <c r="J31"/>
  <c r="D47"/>
  <c r="C51"/>
  <c r="D45"/>
  <c r="C48"/>
  <c r="G37"/>
  <c r="J10"/>
  <c r="J17"/>
  <c r="J26"/>
  <c r="J11"/>
  <c r="C14"/>
  <c r="D14" s="1"/>
  <c r="D16"/>
  <c r="J18"/>
  <c r="J21"/>
  <c r="K31"/>
  <c r="D52"/>
  <c r="D55"/>
  <c r="D60"/>
  <c r="J20"/>
  <c r="D53"/>
  <c r="D61"/>
  <c r="J12"/>
  <c r="J13"/>
  <c r="J14"/>
  <c r="J15"/>
  <c r="D17"/>
  <c r="J22"/>
  <c r="D59"/>
  <c r="D63"/>
  <c r="J9"/>
  <c r="D13"/>
  <c r="D15"/>
  <c r="C22"/>
  <c r="J24"/>
  <c r="H37"/>
  <c r="D58"/>
  <c r="B65"/>
  <c r="J8"/>
  <c r="J16"/>
  <c r="D18"/>
  <c r="J19"/>
  <c r="J23"/>
  <c r="J25"/>
  <c r="G30"/>
  <c r="D62"/>
  <c r="G58" i="4"/>
  <c r="K47"/>
  <c r="H58"/>
  <c r="K58"/>
  <c r="J58"/>
  <c r="G47"/>
  <c r="J47"/>
  <c r="I47"/>
  <c r="H47"/>
  <c r="J31"/>
  <c r="D64"/>
  <c r="J9"/>
  <c r="J10"/>
  <c r="D47"/>
  <c r="C51"/>
  <c r="D45"/>
  <c r="C48"/>
  <c r="G37"/>
  <c r="I27"/>
  <c r="D13"/>
  <c r="D15"/>
  <c r="J17"/>
  <c r="J20"/>
  <c r="C22"/>
  <c r="J24"/>
  <c r="J26"/>
  <c r="H37"/>
  <c r="D53"/>
  <c r="D58"/>
  <c r="D61"/>
  <c r="B65"/>
  <c r="J11"/>
  <c r="C14"/>
  <c r="D14" s="1"/>
  <c r="D16"/>
  <c r="J18"/>
  <c r="J21"/>
  <c r="K31"/>
  <c r="D52"/>
  <c r="D55"/>
  <c r="D60"/>
  <c r="J12"/>
  <c r="J13"/>
  <c r="J14"/>
  <c r="J15"/>
  <c r="D17"/>
  <c r="J22"/>
  <c r="D59"/>
  <c r="D63"/>
  <c r="J8"/>
  <c r="J16"/>
  <c r="D18"/>
  <c r="J19"/>
  <c r="J23"/>
  <c r="J25"/>
  <c r="G30"/>
  <c r="D62"/>
  <c r="G58" i="5"/>
  <c r="K47"/>
  <c r="I58"/>
  <c r="H58"/>
  <c r="K58"/>
  <c r="J58"/>
  <c r="G47"/>
  <c r="I47"/>
  <c r="J47"/>
  <c r="H47"/>
  <c r="D64"/>
  <c r="J17"/>
  <c r="J10"/>
  <c r="J9"/>
  <c r="D47"/>
  <c r="I27"/>
  <c r="C51"/>
  <c r="D45"/>
  <c r="C48"/>
  <c r="G37"/>
  <c r="D13"/>
  <c r="D15"/>
  <c r="J20"/>
  <c r="C22"/>
  <c r="J24"/>
  <c r="J26"/>
  <c r="H37"/>
  <c r="D53"/>
  <c r="D58"/>
  <c r="D61"/>
  <c r="B65"/>
  <c r="J11"/>
  <c r="C14"/>
  <c r="D14" s="1"/>
  <c r="D16"/>
  <c r="J18"/>
  <c r="J21"/>
  <c r="K31"/>
  <c r="D52"/>
  <c r="D55"/>
  <c r="D60"/>
  <c r="J12"/>
  <c r="J13"/>
  <c r="J14"/>
  <c r="J15"/>
  <c r="D17"/>
  <c r="J22"/>
  <c r="D59"/>
  <c r="D63"/>
  <c r="J8"/>
  <c r="J16"/>
  <c r="D18"/>
  <c r="J19"/>
  <c r="J23"/>
  <c r="J25"/>
  <c r="G30"/>
  <c r="D62"/>
  <c r="G58" i="6"/>
  <c r="I58"/>
  <c r="K58"/>
  <c r="J58"/>
  <c r="G47"/>
  <c r="J47"/>
  <c r="I47"/>
  <c r="H47"/>
  <c r="J31"/>
  <c r="D64"/>
  <c r="J9"/>
  <c r="J10"/>
  <c r="D47"/>
  <c r="C51"/>
  <c r="D45"/>
  <c r="C48"/>
  <c r="G37"/>
  <c r="I27"/>
  <c r="D13"/>
  <c r="D15"/>
  <c r="J17"/>
  <c r="J20"/>
  <c r="C22"/>
  <c r="J24"/>
  <c r="J26"/>
  <c r="H37"/>
  <c r="D53"/>
  <c r="D58"/>
  <c r="D61"/>
  <c r="B65"/>
  <c r="J11"/>
  <c r="C14"/>
  <c r="D14" s="1"/>
  <c r="D16"/>
  <c r="J18"/>
  <c r="J21"/>
  <c r="K31"/>
  <c r="D52"/>
  <c r="D55"/>
  <c r="D60"/>
  <c r="J12"/>
  <c r="J13"/>
  <c r="J14"/>
  <c r="J15"/>
  <c r="D17"/>
  <c r="J22"/>
  <c r="D59"/>
  <c r="D63"/>
  <c r="J8"/>
  <c r="J16"/>
  <c r="D18"/>
  <c r="J19"/>
  <c r="J23"/>
  <c r="J25"/>
  <c r="G30"/>
  <c r="D62"/>
  <c r="I27" i="7"/>
  <c r="G58"/>
  <c r="K47"/>
  <c r="H58"/>
  <c r="K58"/>
  <c r="J58"/>
  <c r="G47"/>
  <c r="I47"/>
  <c r="H47"/>
  <c r="J47"/>
  <c r="J10"/>
  <c r="D47"/>
  <c r="J11"/>
  <c r="D13"/>
  <c r="J9"/>
  <c r="D15"/>
  <c r="C51"/>
  <c r="D45"/>
  <c r="C48"/>
  <c r="G37"/>
  <c r="J17"/>
  <c r="J20"/>
  <c r="C22"/>
  <c r="J24"/>
  <c r="I25"/>
  <c r="J26"/>
  <c r="H37"/>
  <c r="D53"/>
  <c r="D58"/>
  <c r="D61"/>
  <c r="B65"/>
  <c r="C14"/>
  <c r="D14" s="1"/>
  <c r="D16"/>
  <c r="J18"/>
  <c r="J21"/>
  <c r="K31"/>
  <c r="D52"/>
  <c r="D55"/>
  <c r="D60"/>
  <c r="J12"/>
  <c r="J13"/>
  <c r="J14"/>
  <c r="J15"/>
  <c r="D17"/>
  <c r="J22"/>
  <c r="D59"/>
  <c r="D63"/>
  <c r="J8"/>
  <c r="J16"/>
  <c r="D18"/>
  <c r="J19"/>
  <c r="J23"/>
  <c r="J25"/>
  <c r="G30"/>
  <c r="D62"/>
  <c r="G58" i="8"/>
  <c r="K47"/>
  <c r="I58"/>
  <c r="H58"/>
  <c r="K58"/>
  <c r="J58"/>
  <c r="G47"/>
  <c r="I27"/>
  <c r="J31"/>
  <c r="J9"/>
  <c r="D47"/>
  <c r="C54"/>
  <c r="D54" s="1"/>
  <c r="D51"/>
  <c r="J10"/>
  <c r="D13"/>
  <c r="J20"/>
  <c r="D58"/>
  <c r="B65"/>
  <c r="J11"/>
  <c r="C14"/>
  <c r="D14" s="1"/>
  <c r="D16"/>
  <c r="J18"/>
  <c r="J21"/>
  <c r="K31"/>
  <c r="G37"/>
  <c r="C48"/>
  <c r="D52"/>
  <c r="D55"/>
  <c r="D60"/>
  <c r="D15"/>
  <c r="J17"/>
  <c r="D53"/>
  <c r="J12"/>
  <c r="J13"/>
  <c r="J14"/>
  <c r="J15"/>
  <c r="D17"/>
  <c r="J22"/>
  <c r="D45"/>
  <c r="D59"/>
  <c r="D63"/>
  <c r="C22"/>
  <c r="J24"/>
  <c r="J26"/>
  <c r="H37"/>
  <c r="D61"/>
  <c r="J8"/>
  <c r="J16"/>
  <c r="D18"/>
  <c r="J19"/>
  <c r="J23"/>
  <c r="J25"/>
  <c r="G30"/>
  <c r="D62"/>
  <c r="G58" i="9"/>
  <c r="I58"/>
  <c r="H58"/>
  <c r="G47"/>
  <c r="I27"/>
  <c r="I47"/>
  <c r="J47"/>
  <c r="J31"/>
  <c r="D47"/>
  <c r="C51"/>
  <c r="D45"/>
  <c r="C48"/>
  <c r="G37"/>
  <c r="J10"/>
  <c r="C22"/>
  <c r="J24"/>
  <c r="D53"/>
  <c r="D58"/>
  <c r="D61"/>
  <c r="B65"/>
  <c r="D15"/>
  <c r="J17"/>
  <c r="H37"/>
  <c r="J11"/>
  <c r="C14"/>
  <c r="D14" s="1"/>
  <c r="D16"/>
  <c r="J18"/>
  <c r="J21"/>
  <c r="K31"/>
  <c r="D52"/>
  <c r="D55"/>
  <c r="D60"/>
  <c r="J13"/>
  <c r="J14"/>
  <c r="J15"/>
  <c r="D17"/>
  <c r="J22"/>
  <c r="D59"/>
  <c r="D63"/>
  <c r="J9"/>
  <c r="D13"/>
  <c r="J20"/>
  <c r="J26"/>
  <c r="J12"/>
  <c r="J8"/>
  <c r="J16"/>
  <c r="D18"/>
  <c r="J19"/>
  <c r="J23"/>
  <c r="J25"/>
  <c r="G30"/>
  <c r="D62"/>
  <c r="G58" i="10"/>
  <c r="K47"/>
  <c r="I58"/>
  <c r="H58"/>
  <c r="K58"/>
  <c r="J58"/>
  <c r="G47"/>
  <c r="I27"/>
  <c r="I47"/>
  <c r="J47"/>
  <c r="H47"/>
  <c r="J31"/>
  <c r="K31"/>
  <c r="C51"/>
  <c r="D45"/>
  <c r="C48"/>
  <c r="G37"/>
  <c r="D13"/>
  <c r="J17"/>
  <c r="J20"/>
  <c r="C22"/>
  <c r="J24"/>
  <c r="I25"/>
  <c r="J26"/>
  <c r="H37"/>
  <c r="D53"/>
  <c r="D58"/>
  <c r="D61"/>
  <c r="B65"/>
  <c r="J11"/>
  <c r="J18"/>
  <c r="J21"/>
  <c r="D52"/>
  <c r="D55"/>
  <c r="D60"/>
  <c r="D15"/>
  <c r="C14"/>
  <c r="D14" s="1"/>
  <c r="D16"/>
  <c r="D59"/>
  <c r="D63"/>
  <c r="J9"/>
  <c r="J10"/>
  <c r="J12"/>
  <c r="J13"/>
  <c r="J14"/>
  <c r="J15"/>
  <c r="D17"/>
  <c r="J22"/>
  <c r="J8"/>
  <c r="J16"/>
  <c r="D18"/>
  <c r="J19"/>
  <c r="J23"/>
  <c r="J25"/>
  <c r="G30"/>
  <c r="D47"/>
  <c r="D62"/>
  <c r="D48" i="1" l="1"/>
  <c r="D65"/>
  <c r="J27"/>
  <c r="D25"/>
  <c r="C24"/>
  <c r="D23"/>
  <c r="G32"/>
  <c r="J37"/>
  <c r="K37"/>
  <c r="J30"/>
  <c r="K30"/>
  <c r="H36"/>
  <c r="H35"/>
  <c r="H34"/>
  <c r="H33"/>
  <c r="C54"/>
  <c r="D51"/>
  <c r="J27" i="2"/>
  <c r="D48"/>
  <c r="D65"/>
  <c r="H36"/>
  <c r="H34"/>
  <c r="J30"/>
  <c r="K30"/>
  <c r="H35"/>
  <c r="H33"/>
  <c r="C54"/>
  <c r="D51"/>
  <c r="D23"/>
  <c r="D25"/>
  <c r="C24"/>
  <c r="G32"/>
  <c r="J37"/>
  <c r="K37"/>
  <c r="D48" i="3"/>
  <c r="J27"/>
  <c r="D65"/>
  <c r="H35"/>
  <c r="J30"/>
  <c r="H36"/>
  <c r="H33"/>
  <c r="K30"/>
  <c r="H34"/>
  <c r="G32"/>
  <c r="D25"/>
  <c r="C24"/>
  <c r="D23"/>
  <c r="J37"/>
  <c r="K37"/>
  <c r="C54"/>
  <c r="D51"/>
  <c r="D65" i="4"/>
  <c r="D48"/>
  <c r="J27"/>
  <c r="J30"/>
  <c r="K30"/>
  <c r="H36"/>
  <c r="H35"/>
  <c r="H34"/>
  <c r="H33"/>
  <c r="C54"/>
  <c r="D51"/>
  <c r="D25"/>
  <c r="C24"/>
  <c r="D23"/>
  <c r="G32"/>
  <c r="J37"/>
  <c r="K37"/>
  <c r="D48" i="5"/>
  <c r="J27"/>
  <c r="D65"/>
  <c r="J30"/>
  <c r="K30"/>
  <c r="H36"/>
  <c r="H35"/>
  <c r="H34"/>
  <c r="H33"/>
  <c r="D25"/>
  <c r="C24"/>
  <c r="D23"/>
  <c r="G32"/>
  <c r="J37"/>
  <c r="K37"/>
  <c r="C54"/>
  <c r="D51"/>
  <c r="D65" i="6"/>
  <c r="D48"/>
  <c r="J27"/>
  <c r="J37"/>
  <c r="K37"/>
  <c r="J30"/>
  <c r="K30"/>
  <c r="H36"/>
  <c r="H35"/>
  <c r="H34"/>
  <c r="H33"/>
  <c r="C54"/>
  <c r="D51"/>
  <c r="D25"/>
  <c r="C24"/>
  <c r="D23"/>
  <c r="G32"/>
  <c r="D48" i="7"/>
  <c r="J27"/>
  <c r="D65"/>
  <c r="J30"/>
  <c r="K30"/>
  <c r="H36"/>
  <c r="H35"/>
  <c r="H34"/>
  <c r="H33"/>
  <c r="D25"/>
  <c r="C24"/>
  <c r="D23"/>
  <c r="G32"/>
  <c r="J37"/>
  <c r="K37"/>
  <c r="C54"/>
  <c r="D51"/>
  <c r="D48" i="8"/>
  <c r="C56"/>
  <c r="D56" s="1"/>
  <c r="J27"/>
  <c r="D65"/>
  <c r="H35"/>
  <c r="H33"/>
  <c r="J30"/>
  <c r="H34"/>
  <c r="K30"/>
  <c r="H36"/>
  <c r="J37"/>
  <c r="K37"/>
  <c r="D25"/>
  <c r="C24"/>
  <c r="G32"/>
  <c r="D23"/>
  <c r="J27" i="9"/>
  <c r="D65"/>
  <c r="D48"/>
  <c r="J30"/>
  <c r="K30"/>
  <c r="H34"/>
  <c r="H36"/>
  <c r="H35"/>
  <c r="H33"/>
  <c r="D25"/>
  <c r="C24"/>
  <c r="D23"/>
  <c r="G32"/>
  <c r="J37"/>
  <c r="K37"/>
  <c r="C54"/>
  <c r="D51"/>
  <c r="D65" i="10"/>
  <c r="J27"/>
  <c r="J30"/>
  <c r="K30"/>
  <c r="H36"/>
  <c r="H35"/>
  <c r="H34"/>
  <c r="H33"/>
  <c r="J37"/>
  <c r="K37"/>
  <c r="C54"/>
  <c r="D51"/>
  <c r="D25"/>
  <c r="C24"/>
  <c r="D23"/>
  <c r="G32"/>
  <c r="D48"/>
  <c r="D54" i="1" l="1"/>
  <c r="C56"/>
  <c r="D56" s="1"/>
  <c r="J36"/>
  <c r="K36"/>
  <c r="J35"/>
  <c r="K35"/>
  <c r="K34"/>
  <c r="J34"/>
  <c r="K33"/>
  <c r="J33"/>
  <c r="J32"/>
  <c r="K32"/>
  <c r="J35" i="2"/>
  <c r="K35"/>
  <c r="K36"/>
  <c r="J36"/>
  <c r="K33"/>
  <c r="J33"/>
  <c r="J34"/>
  <c r="K34"/>
  <c r="D54"/>
  <c r="C56"/>
  <c r="D56" s="1"/>
  <c r="J32"/>
  <c r="K32"/>
  <c r="D54" i="3"/>
  <c r="C56"/>
  <c r="D56" s="1"/>
  <c r="J34"/>
  <c r="K34"/>
  <c r="J32"/>
  <c r="K32"/>
  <c r="J36"/>
  <c r="K36"/>
  <c r="K35"/>
  <c r="J35"/>
  <c r="K33"/>
  <c r="J33"/>
  <c r="K34" i="4"/>
  <c r="J34"/>
  <c r="J33"/>
  <c r="K33"/>
  <c r="D54"/>
  <c r="C56"/>
  <c r="D56" s="1"/>
  <c r="K36"/>
  <c r="J36"/>
  <c r="J32"/>
  <c r="K32"/>
  <c r="J35"/>
  <c r="K35"/>
  <c r="K36" i="5"/>
  <c r="J36"/>
  <c r="K35"/>
  <c r="J35"/>
  <c r="D54"/>
  <c r="C56"/>
  <c r="D56" s="1"/>
  <c r="K34"/>
  <c r="J34"/>
  <c r="J32"/>
  <c r="K32"/>
  <c r="K33"/>
  <c r="J33"/>
  <c r="J32" i="6"/>
  <c r="K32"/>
  <c r="J35"/>
  <c r="K35"/>
  <c r="K34"/>
  <c r="J34"/>
  <c r="D54"/>
  <c r="C56"/>
  <c r="D56" s="1"/>
  <c r="J36"/>
  <c r="K36"/>
  <c r="J33"/>
  <c r="K33"/>
  <c r="D54" i="7"/>
  <c r="C56"/>
  <c r="D56" s="1"/>
  <c r="J34"/>
  <c r="K34"/>
  <c r="J32"/>
  <c r="K32"/>
  <c r="J33"/>
  <c r="K33"/>
  <c r="J36"/>
  <c r="K36"/>
  <c r="K35"/>
  <c r="J35"/>
  <c r="J35" i="8"/>
  <c r="K35"/>
  <c r="J36"/>
  <c r="K36"/>
  <c r="J33"/>
  <c r="K33"/>
  <c r="J32"/>
  <c r="K32"/>
  <c r="J34"/>
  <c r="K34"/>
  <c r="D54" i="9"/>
  <c r="C56"/>
  <c r="D56" s="1"/>
  <c r="K35"/>
  <c r="J35"/>
  <c r="J32"/>
  <c r="K32"/>
  <c r="K33"/>
  <c r="J33"/>
  <c r="K34"/>
  <c r="J34"/>
  <c r="K36"/>
  <c r="J36"/>
  <c r="J32" i="10"/>
  <c r="K32"/>
  <c r="J33"/>
  <c r="K33"/>
  <c r="K36"/>
  <c r="J36"/>
  <c r="D54"/>
  <c r="C56"/>
  <c r="D56" s="1"/>
  <c r="K34"/>
  <c r="J34"/>
  <c r="J35"/>
  <c r="K35"/>
</calcChain>
</file>

<file path=xl/sharedStrings.xml><?xml version="1.0" encoding="utf-8"?>
<sst xmlns="http://schemas.openxmlformats.org/spreadsheetml/2006/main" count="1850" uniqueCount="141">
  <si>
    <t xml:space="preserve">     </t>
  </si>
  <si>
    <t>ORGANIZACIÓN RODPER SA DE CV</t>
  </si>
  <si>
    <t>SUCURSAL</t>
  </si>
  <si>
    <t>Fecha Inicial:</t>
  </si>
  <si>
    <t>Gerente :</t>
  </si>
  <si>
    <t>Fecha Final:</t>
  </si>
  <si>
    <t>Supervisor :</t>
  </si>
  <si>
    <t xml:space="preserve">  Semana   </t>
  </si>
  <si>
    <t>*** Ventas Semanales ***</t>
  </si>
  <si>
    <t>Cantidad</t>
  </si>
  <si>
    <t>%</t>
  </si>
  <si>
    <t>TOP PRODUCTOS</t>
  </si>
  <si>
    <t>VENTAS TOTALES</t>
  </si>
  <si>
    <t>PRODUCTO</t>
  </si>
  <si>
    <t>UNID.</t>
  </si>
  <si>
    <t>$ TOT.</t>
  </si>
  <si>
    <t>$ PROM.</t>
  </si>
  <si>
    <t>PARTC.</t>
  </si>
  <si>
    <t>Cupones</t>
  </si>
  <si>
    <t>BLIZZARD</t>
  </si>
  <si>
    <t>I.V.A.</t>
  </si>
  <si>
    <t>SHAKES</t>
  </si>
  <si>
    <t>Efectivo</t>
  </si>
  <si>
    <t>MOOLATE</t>
  </si>
  <si>
    <t>Tarjetas</t>
  </si>
  <si>
    <t>CONES</t>
  </si>
  <si>
    <t>VENTAS REALES</t>
  </si>
  <si>
    <t>DIPPED CONES</t>
  </si>
  <si>
    <t>Ventas FD</t>
  </si>
  <si>
    <t>ROYAL TREATS</t>
  </si>
  <si>
    <t>Ventas DQ</t>
  </si>
  <si>
    <t>WAFFLE CONES</t>
  </si>
  <si>
    <t>Ventas Pasteles</t>
  </si>
  <si>
    <t>WAFFLE BOWLS</t>
  </si>
  <si>
    <t>Ventas Eventos</t>
  </si>
  <si>
    <t>DQ CAKES</t>
  </si>
  <si>
    <t>Ventas Semana Pasada</t>
  </si>
  <si>
    <t>NOVELTIES</t>
  </si>
  <si>
    <t>Ventas Año Pasado</t>
  </si>
  <si>
    <t>SUNDAES</t>
  </si>
  <si>
    <t>TRANSACIONES TOTALES</t>
  </si>
  <si>
    <t>BANANA SPLIT</t>
  </si>
  <si>
    <t>Transaciones Semana Pasada</t>
  </si>
  <si>
    <t>BLIZZARD LITRO</t>
  </si>
  <si>
    <t>Transaciones Año Pasado</t>
  </si>
  <si>
    <t>DQ SMOOTHIES</t>
  </si>
  <si>
    <t>TICKET PROMEDIO</t>
  </si>
  <si>
    <t>ARTIC RUSH</t>
  </si>
  <si>
    <t>Ticket Promedio Semana Pasada</t>
  </si>
  <si>
    <t>BEVERAGES</t>
  </si>
  <si>
    <t>EXTRA TOPPINGS</t>
  </si>
  <si>
    <t>Ticket Meta</t>
  </si>
  <si>
    <t xml:space="preserve"> </t>
  </si>
  <si>
    <t>CUPONES</t>
  </si>
  <si>
    <t>COSTO DE COMIDA</t>
  </si>
  <si>
    <t>MIERCOLES 2X1</t>
  </si>
  <si>
    <t>INVENTARIO INICIAL</t>
  </si>
  <si>
    <t>TOTALES</t>
  </si>
  <si>
    <t>Factura AXIS #</t>
  </si>
  <si>
    <t>METAS</t>
  </si>
  <si>
    <t>Factura #</t>
  </si>
  <si>
    <t>REAL</t>
  </si>
  <si>
    <t>META</t>
  </si>
  <si>
    <t>% DIF</t>
  </si>
  <si>
    <t>DIFERENCIA</t>
  </si>
  <si>
    <t>VENTAS</t>
  </si>
  <si>
    <t>OPERACIONES</t>
  </si>
  <si>
    <t>TTRANSACIONES</t>
  </si>
  <si>
    <t>5 % A.P.</t>
  </si>
  <si>
    <t>Refrescos</t>
  </si>
  <si>
    <t>PASTELES</t>
  </si>
  <si>
    <t>10% V REAL</t>
  </si>
  <si>
    <t>ENTRADA</t>
  </si>
  <si>
    <t>EXTRATOPPING</t>
  </si>
  <si>
    <t>2% V REAL</t>
  </si>
  <si>
    <t>MERMAS</t>
  </si>
  <si>
    <t>0.2% V REAL</t>
  </si>
  <si>
    <t>DEGUSTACIONES</t>
  </si>
  <si>
    <t>0.5% V REAL</t>
  </si>
  <si>
    <t>COST COM REAL</t>
  </si>
  <si>
    <t>34% V REAL</t>
  </si>
  <si>
    <t>SALIDAS</t>
  </si>
  <si>
    <t>VASOS Y CONTENEDORES</t>
  </si>
  <si>
    <t>Descripcion</t>
  </si>
  <si>
    <t>V. MOOLATE</t>
  </si>
  <si>
    <t>B. GDE</t>
  </si>
  <si>
    <t>B. MED</t>
  </si>
  <si>
    <t>B. CH</t>
  </si>
  <si>
    <t>DOMO P</t>
  </si>
  <si>
    <t>Inv. Inicial</t>
  </si>
  <si>
    <t>Compras</t>
  </si>
  <si>
    <t>Total de Facturas</t>
  </si>
  <si>
    <t>Inv. Final</t>
  </si>
  <si>
    <t>INVENTARIO FINAL</t>
  </si>
  <si>
    <t>Utilizado</t>
  </si>
  <si>
    <t>COSTO COMIDA</t>
  </si>
  <si>
    <t>Vendido</t>
  </si>
  <si>
    <t>Dif. (+/-)</t>
  </si>
  <si>
    <t>Suma Utilizado Diario (IDEAL)</t>
  </si>
  <si>
    <t>Costo Unitario</t>
  </si>
  <si>
    <t>Diferencia Utilizado vs. IDEAL</t>
  </si>
  <si>
    <t>Traspasos</t>
  </si>
  <si>
    <t>ANALISIS DE COSTOS</t>
  </si>
  <si>
    <t>COSTO DE COMIDA UTILIZADO</t>
  </si>
  <si>
    <t>V. SUNDAY</t>
  </si>
  <si>
    <t>BANANA</t>
  </si>
  <si>
    <t>BOWLD</t>
  </si>
  <si>
    <t>CONES CH</t>
  </si>
  <si>
    <t>CONES GD</t>
  </si>
  <si>
    <t>COSTO DE MERMAS</t>
  </si>
  <si>
    <t>LABOR</t>
  </si>
  <si>
    <t>UTILIDAD OPERATIVA</t>
  </si>
  <si>
    <t>PARTICIPACION VENTAS DIARIAS</t>
  </si>
  <si>
    <t>LUNES</t>
  </si>
  <si>
    <t>MARTES</t>
  </si>
  <si>
    <t>MIERCOLES</t>
  </si>
  <si>
    <t>JUEVES</t>
  </si>
  <si>
    <t>***  PROMOCIONES MKT ***</t>
  </si>
  <si>
    <t>VIERNES</t>
  </si>
  <si>
    <t>CON CUPON FISICO</t>
  </si>
  <si>
    <t>SABADO</t>
  </si>
  <si>
    <t>MADAPAL DESC 20%</t>
  </si>
  <si>
    <t>DOMINGO</t>
  </si>
  <si>
    <t>AGENDA CONO BLIZZARD</t>
  </si>
  <si>
    <t>AGENDA SUNDAES</t>
  </si>
  <si>
    <t>PARTICIPACION TRANSACIONES DIARIAS</t>
  </si>
  <si>
    <t>AGENDA ARTIC</t>
  </si>
  <si>
    <t>DILLY ENCUESTA</t>
  </si>
  <si>
    <t>$50 DESC PASTEL</t>
  </si>
  <si>
    <t>$40 DESC PASTEL</t>
  </si>
  <si>
    <t>DQ FAN 2X1 BLI CHI</t>
  </si>
  <si>
    <t>PROMO SIN CUPON</t>
  </si>
  <si>
    <t>SAT</t>
  </si>
  <si>
    <t>DAIRY DAY</t>
  </si>
  <si>
    <t>VASO PROMO</t>
  </si>
  <si>
    <t>2DO BLIZZARD $19</t>
  </si>
  <si>
    <t>UTILIZADO DIARIO SISTEMA (IDEAL)</t>
  </si>
  <si>
    <t>2X1 ARTIC</t>
  </si>
  <si>
    <t>DESC 20% CUPON</t>
  </si>
  <si>
    <t xml:space="preserve">JUEVES </t>
  </si>
  <si>
    <t>PARTICIPACION DE CUPONES DE MKT EN LA SEMANA</t>
  </si>
</sst>
</file>

<file path=xl/styles.xml><?xml version="1.0" encoding="utf-8"?>
<styleSheet xmlns="http://schemas.openxmlformats.org/spreadsheetml/2006/main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&quot;$&quot;\ #,##0.00;[Red]\-&quot;$&quot;\ #,##0.00"/>
    <numFmt numFmtId="166" formatCode="_-[$$-409]* #,##0.00_ ;_-[$$-409]* \-#,##0.00\ ;_-[$$-409]* &quot;-&quot;??_ ;_-@_ "/>
    <numFmt numFmtId="167" formatCode="#,##0_ ;[Red]\-#,##0\ "/>
    <numFmt numFmtId="168" formatCode="[$$-409]#,##0.00_ ;[Red]\-[$$-409]#,##0.00\ "/>
    <numFmt numFmtId="169" formatCode="#,##0_ ;\-#,##0\ "/>
    <numFmt numFmtId="170" formatCode="#,##0.00_ ;[Red]\-#,##0.00\ "/>
    <numFmt numFmtId="171" formatCode="0_ ;[Red]\-0\ "/>
    <numFmt numFmtId="172" formatCode="&quot;$&quot;\ #,##0.00;[Red]&quot;$&quot;\ #,##0.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8"/>
      <name val="Century"/>
      <family val="1"/>
    </font>
    <font>
      <sz val="7"/>
      <name val="Arial"/>
      <family val="2"/>
    </font>
    <font>
      <b/>
      <sz val="13"/>
      <name val="Century"/>
      <family val="1"/>
    </font>
    <font>
      <b/>
      <sz val="9"/>
      <name val="Arial"/>
      <family val="2"/>
    </font>
    <font>
      <sz val="9"/>
      <color indexed="4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9"/>
      <color indexed="9"/>
      <name val="Arial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9"/>
      <color indexed="8"/>
      <name val="Calibri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9"/>
      <color indexed="9"/>
      <name val="Arial"/>
      <family val="2"/>
    </font>
    <font>
      <b/>
      <sz val="10"/>
      <name val="Arial Unicode MS"/>
      <family val="2"/>
    </font>
    <font>
      <b/>
      <sz val="9"/>
      <color theme="0"/>
      <name val="Arial"/>
      <family val="2"/>
    </font>
    <font>
      <b/>
      <sz val="8"/>
      <color indexed="9"/>
      <name val="Arial"/>
      <family val="2"/>
    </font>
    <font>
      <b/>
      <sz val="8"/>
      <color indexed="48"/>
      <name val="Arial"/>
      <family val="2"/>
    </font>
    <font>
      <b/>
      <sz val="9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Fill="0"/>
    <xf numFmtId="0" fontId="3" fillId="0" borderId="0" applyFill="0"/>
  </cellStyleXfs>
  <cellXfs count="221">
    <xf numFmtId="0" fontId="0" fillId="0" borderId="0" xfId="0"/>
    <xf numFmtId="0" fontId="2" fillId="2" borderId="0" xfId="0" applyFont="1" applyFill="1" applyAlignment="1" applyProtection="1">
      <alignment horizontal="right"/>
    </xf>
    <xf numFmtId="0" fontId="4" fillId="2" borderId="0" xfId="4" applyFont="1" applyFill="1" applyAlignment="1" applyProtection="1">
      <alignment horizontal="center" vertical="center"/>
    </xf>
    <xf numFmtId="0" fontId="0" fillId="0" borderId="0" xfId="0" applyProtection="1"/>
    <xf numFmtId="0" fontId="5" fillId="2" borderId="0" xfId="0" applyFont="1" applyFill="1" applyAlignment="1" applyProtection="1">
      <alignment horizontal="right"/>
    </xf>
    <xf numFmtId="0" fontId="6" fillId="2" borderId="0" xfId="4" applyFont="1" applyFill="1" applyBorder="1" applyAlignment="1" applyProtection="1">
      <alignment vertical="center"/>
    </xf>
    <xf numFmtId="0" fontId="6" fillId="0" borderId="0" xfId="4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left" vertical="center"/>
    </xf>
    <xf numFmtId="15" fontId="2" fillId="3" borderId="0" xfId="0" applyNumberFormat="1" applyFont="1" applyFill="1" applyBorder="1" applyAlignment="1" applyProtection="1">
      <alignment horizontal="center" vertical="center"/>
      <protection locked="0"/>
    </xf>
    <xf numFmtId="15" fontId="8" fillId="2" borderId="0" xfId="0" quotePrefix="1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right" vertical="center"/>
    </xf>
    <xf numFmtId="0" fontId="7" fillId="2" borderId="0" xfId="0" applyFont="1" applyFill="1" applyBorder="1" applyAlignment="1" applyProtection="1">
      <alignment horizontal="right" vertical="center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4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/>
    </xf>
    <xf numFmtId="0" fontId="10" fillId="5" borderId="2" xfId="0" applyFont="1" applyFill="1" applyBorder="1" applyAlignment="1" applyProtection="1">
      <alignment horizontal="center"/>
    </xf>
    <xf numFmtId="0" fontId="10" fillId="5" borderId="3" xfId="0" applyFont="1" applyFill="1" applyBorder="1" applyAlignment="1" applyProtection="1">
      <alignment horizontal="center"/>
    </xf>
    <xf numFmtId="0" fontId="10" fillId="5" borderId="4" xfId="0" applyFont="1" applyFill="1" applyBorder="1" applyAlignment="1" applyProtection="1">
      <alignment horizontal="center"/>
    </xf>
    <xf numFmtId="0" fontId="10" fillId="5" borderId="5" xfId="0" applyFont="1" applyFill="1" applyBorder="1" applyAlignment="1" applyProtection="1">
      <alignment horizontal="center"/>
    </xf>
    <xf numFmtId="0" fontId="10" fillId="5" borderId="6" xfId="0" applyFont="1" applyFill="1" applyBorder="1" applyAlignment="1" applyProtection="1">
      <alignment horizontal="center"/>
    </xf>
    <xf numFmtId="0" fontId="11" fillId="2" borderId="7" xfId="0" applyFont="1" applyFill="1" applyBorder="1" applyAlignment="1" applyProtection="1">
      <alignment horizontal="left"/>
    </xf>
    <xf numFmtId="0" fontId="11" fillId="2" borderId="8" xfId="0" applyFont="1" applyFill="1" applyBorder="1" applyAlignment="1" applyProtection="1">
      <alignment horizontal="left"/>
    </xf>
    <xf numFmtId="165" fontId="11" fillId="3" borderId="8" xfId="2" applyNumberFormat="1" applyFont="1" applyFill="1" applyBorder="1" applyAlignment="1" applyProtection="1">
      <alignment horizontal="right" vertical="center"/>
      <protection locked="0"/>
    </xf>
    <xf numFmtId="10" fontId="11" fillId="2" borderId="8" xfId="0" applyNumberFormat="1" applyFont="1" applyFill="1" applyBorder="1" applyAlignment="1" applyProtection="1">
      <alignment horizontal="center"/>
    </xf>
    <xf numFmtId="0" fontId="12" fillId="5" borderId="9" xfId="0" applyFont="1" applyFill="1" applyBorder="1" applyAlignment="1" applyProtection="1">
      <alignment horizontal="center"/>
    </xf>
    <xf numFmtId="0" fontId="12" fillId="5" borderId="0" xfId="0" applyFont="1" applyFill="1" applyBorder="1" applyAlignment="1" applyProtection="1">
      <alignment horizontal="center"/>
    </xf>
    <xf numFmtId="0" fontId="12" fillId="5" borderId="10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left"/>
    </xf>
    <xf numFmtId="0" fontId="2" fillId="2" borderId="12" xfId="0" applyFont="1" applyFill="1" applyBorder="1" applyAlignment="1" applyProtection="1">
      <alignment horizontal="left"/>
    </xf>
    <xf numFmtId="165" fontId="13" fillId="3" borderId="12" xfId="2" applyNumberFormat="1" applyFont="1" applyFill="1" applyBorder="1" applyAlignment="1" applyProtection="1">
      <alignment horizontal="right" vertical="center"/>
      <protection locked="0"/>
    </xf>
    <xf numFmtId="10" fontId="7" fillId="2" borderId="12" xfId="3" applyNumberFormat="1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  <protection locked="0"/>
    </xf>
    <xf numFmtId="166" fontId="0" fillId="3" borderId="0" xfId="0" applyNumberFormat="1" applyFill="1" applyBorder="1" applyAlignment="1" applyProtection="1">
      <alignment horizontal="center"/>
      <protection locked="0"/>
    </xf>
    <xf numFmtId="166" fontId="0" fillId="0" borderId="0" xfId="0" applyNumberFormat="1" applyBorder="1" applyAlignment="1" applyProtection="1">
      <alignment horizontal="center"/>
    </xf>
    <xf numFmtId="10" fontId="14" fillId="0" borderId="0" xfId="3" applyNumberFormat="1" applyFont="1" applyBorder="1" applyAlignment="1" applyProtection="1">
      <alignment horizontal="center"/>
    </xf>
    <xf numFmtId="10" fontId="14" fillId="0" borderId="10" xfId="3" applyNumberFormat="1" applyFont="1" applyBorder="1" applyAlignment="1" applyProtection="1">
      <alignment horizontal="center"/>
    </xf>
    <xf numFmtId="2" fontId="0" fillId="0" borderId="0" xfId="0" applyNumberFormat="1" applyProtection="1"/>
    <xf numFmtId="165" fontId="13" fillId="2" borderId="12" xfId="2" applyNumberFormat="1" applyFont="1" applyFill="1" applyBorder="1" applyAlignment="1" applyProtection="1">
      <alignment horizontal="right" vertical="center"/>
    </xf>
    <xf numFmtId="166" fontId="0" fillId="3" borderId="0" xfId="0" applyNumberFormat="1" applyFont="1" applyFill="1" applyBorder="1" applyAlignment="1" applyProtection="1">
      <alignment horizontal="center"/>
      <protection locked="0"/>
    </xf>
    <xf numFmtId="165" fontId="15" fillId="2" borderId="12" xfId="2" applyNumberFormat="1" applyFont="1" applyFill="1" applyBorder="1" applyAlignment="1" applyProtection="1">
      <alignment horizontal="right" vertical="center"/>
    </xf>
    <xf numFmtId="10" fontId="7" fillId="2" borderId="12" xfId="0" applyNumberFormat="1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left"/>
    </xf>
    <xf numFmtId="0" fontId="2" fillId="2" borderId="14" xfId="0" applyFont="1" applyFill="1" applyBorder="1" applyAlignment="1" applyProtection="1">
      <alignment horizontal="left"/>
    </xf>
    <xf numFmtId="165" fontId="2" fillId="3" borderId="14" xfId="2" applyNumberFormat="1" applyFont="1" applyFill="1" applyBorder="1" applyAlignment="1" applyProtection="1">
      <alignment horizontal="right" vertical="center"/>
      <protection locked="0"/>
    </xf>
    <xf numFmtId="10" fontId="7" fillId="2" borderId="14" xfId="3" applyNumberFormat="1" applyFont="1" applyFill="1" applyBorder="1" applyAlignment="1" applyProtection="1">
      <alignment horizontal="center"/>
    </xf>
    <xf numFmtId="0" fontId="11" fillId="2" borderId="11" xfId="0" applyFont="1" applyFill="1" applyBorder="1" applyAlignment="1" applyProtection="1">
      <alignment horizontal="left"/>
    </xf>
    <xf numFmtId="0" fontId="11" fillId="2" borderId="12" xfId="0" applyFont="1" applyFill="1" applyBorder="1" applyAlignment="1" applyProtection="1">
      <alignment horizontal="left"/>
    </xf>
    <xf numFmtId="165" fontId="16" fillId="2" borderId="12" xfId="2" applyNumberFormat="1" applyFont="1" applyFill="1" applyBorder="1" applyAlignment="1" applyProtection="1">
      <alignment horizontal="right" vertical="center"/>
    </xf>
    <xf numFmtId="10" fontId="11" fillId="2" borderId="12" xfId="3" applyNumberFormat="1" applyFont="1" applyFill="1" applyBorder="1" applyAlignment="1" applyProtection="1">
      <alignment horizontal="center"/>
    </xf>
    <xf numFmtId="166" fontId="2" fillId="0" borderId="12" xfId="2" applyNumberFormat="1" applyFont="1" applyFill="1" applyBorder="1" applyAlignment="1" applyProtection="1">
      <alignment horizontal="right" vertical="center"/>
    </xf>
    <xf numFmtId="10" fontId="2" fillId="2" borderId="12" xfId="3" applyNumberFormat="1" applyFont="1" applyFill="1" applyBorder="1" applyAlignment="1" applyProtection="1">
      <alignment horizontal="center"/>
    </xf>
    <xf numFmtId="165" fontId="2" fillId="0" borderId="12" xfId="2" applyNumberFormat="1" applyFont="1" applyFill="1" applyBorder="1" applyAlignment="1" applyProtection="1">
      <alignment horizontal="right" vertical="center"/>
    </xf>
    <xf numFmtId="165" fontId="2" fillId="3" borderId="12" xfId="2" applyNumberFormat="1" applyFont="1" applyFill="1" applyBorder="1" applyAlignment="1" applyProtection="1">
      <alignment horizontal="right" vertical="center"/>
      <protection locked="0"/>
    </xf>
    <xf numFmtId="10" fontId="2" fillId="2" borderId="14" xfId="3" applyNumberFormat="1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left"/>
    </xf>
    <xf numFmtId="0" fontId="2" fillId="2" borderId="15" xfId="0" applyFont="1" applyFill="1" applyBorder="1" applyAlignment="1" applyProtection="1">
      <alignment horizontal="left"/>
    </xf>
    <xf numFmtId="165" fontId="2" fillId="3" borderId="16" xfId="2" applyNumberFormat="1" applyFont="1" applyFill="1" applyBorder="1" applyAlignment="1" applyProtection="1">
      <alignment horizontal="right" vertical="center"/>
      <protection locked="0"/>
    </xf>
    <xf numFmtId="10" fontId="2" fillId="2" borderId="8" xfId="3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left"/>
    </xf>
    <xf numFmtId="165" fontId="2" fillId="3" borderId="18" xfId="2" applyNumberFormat="1" applyFont="1" applyFill="1" applyBorder="1" applyAlignment="1" applyProtection="1">
      <alignment horizontal="right" vertical="center"/>
      <protection locked="0"/>
    </xf>
    <xf numFmtId="167" fontId="11" fillId="3" borderId="12" xfId="2" applyNumberFormat="1" applyFont="1" applyFill="1" applyBorder="1" applyAlignment="1" applyProtection="1">
      <alignment horizontal="right" vertical="center"/>
      <protection locked="0"/>
    </xf>
    <xf numFmtId="167" fontId="2" fillId="3" borderId="12" xfId="2" applyNumberFormat="1" applyFont="1" applyFill="1" applyBorder="1" applyAlignment="1" applyProtection="1">
      <alignment horizontal="right" vertical="center"/>
      <protection locked="0"/>
    </xf>
    <xf numFmtId="10" fontId="2" fillId="2" borderId="12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165" fontId="15" fillId="3" borderId="19" xfId="2" applyNumberFormat="1" applyFont="1" applyFill="1" applyBorder="1" applyAlignment="1" applyProtection="1">
      <alignment horizontal="right" vertical="center"/>
      <protection locked="0"/>
    </xf>
    <xf numFmtId="0" fontId="2" fillId="2" borderId="11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left"/>
    </xf>
    <xf numFmtId="165" fontId="15" fillId="2" borderId="19" xfId="2" applyNumberFormat="1" applyFont="1" applyFill="1" applyBorder="1" applyAlignment="1" applyProtection="1">
      <alignment horizontal="right" vertical="center"/>
    </xf>
    <xf numFmtId="0" fontId="0" fillId="0" borderId="13" xfId="0" applyBorder="1" applyProtection="1"/>
    <xf numFmtId="0" fontId="0" fillId="0" borderId="17" xfId="0" applyBorder="1" applyProtection="1"/>
    <xf numFmtId="166" fontId="13" fillId="2" borderId="18" xfId="2" applyNumberFormat="1" applyFont="1" applyFill="1" applyBorder="1" applyAlignment="1" applyProtection="1">
      <alignment horizontal="right" vertical="center"/>
    </xf>
    <xf numFmtId="10" fontId="2" fillId="2" borderId="18" xfId="0" applyNumberFormat="1" applyFont="1" applyFill="1" applyBorder="1" applyAlignment="1" applyProtection="1">
      <alignment horizontal="center"/>
    </xf>
    <xf numFmtId="1" fontId="7" fillId="0" borderId="0" xfId="0" applyNumberFormat="1" applyFont="1" applyFill="1" applyBorder="1" applyAlignment="1" applyProtection="1">
      <alignment horizontal="center"/>
    </xf>
    <xf numFmtId="0" fontId="17" fillId="5" borderId="7" xfId="4" applyFont="1" applyFill="1" applyBorder="1" applyAlignment="1" applyProtection="1">
      <alignment horizontal="center"/>
    </xf>
    <xf numFmtId="0" fontId="17" fillId="5" borderId="15" xfId="4" applyFont="1" applyFill="1" applyBorder="1" applyAlignment="1" applyProtection="1">
      <alignment horizontal="center"/>
    </xf>
    <xf numFmtId="0" fontId="17" fillId="5" borderId="2" xfId="4" applyFont="1" applyFill="1" applyBorder="1" applyAlignment="1" applyProtection="1">
      <alignment horizontal="center"/>
    </xf>
    <xf numFmtId="0" fontId="2" fillId="0" borderId="20" xfId="0" applyFont="1" applyFill="1" applyBorder="1" applyAlignment="1" applyProtection="1">
      <alignment horizontal="center"/>
    </xf>
    <xf numFmtId="1" fontId="7" fillId="0" borderId="21" xfId="0" applyNumberFormat="1" applyFont="1" applyFill="1" applyBorder="1" applyAlignment="1" applyProtection="1">
      <alignment horizontal="center"/>
    </xf>
    <xf numFmtId="166" fontId="0" fillId="3" borderId="21" xfId="0" applyNumberFormat="1" applyFill="1" applyBorder="1" applyAlignment="1" applyProtection="1">
      <alignment horizontal="center"/>
      <protection locked="0"/>
    </xf>
    <xf numFmtId="166" fontId="0" fillId="0" borderId="21" xfId="0" applyNumberFormat="1" applyBorder="1" applyAlignment="1" applyProtection="1">
      <alignment horizontal="center"/>
    </xf>
    <xf numFmtId="10" fontId="14" fillId="0" borderId="21" xfId="3" applyNumberFormat="1" applyFont="1" applyBorder="1" applyAlignment="1" applyProtection="1">
      <alignment horizontal="center"/>
    </xf>
    <xf numFmtId="0" fontId="0" fillId="0" borderId="22" xfId="0" applyBorder="1" applyProtection="1"/>
    <xf numFmtId="0" fontId="11" fillId="6" borderId="23" xfId="4" applyFont="1" applyFill="1" applyBorder="1" applyAlignment="1" applyProtection="1">
      <alignment horizontal="left"/>
    </xf>
    <xf numFmtId="0" fontId="11" fillId="6" borderId="24" xfId="4" applyFont="1" applyFill="1" applyBorder="1" applyAlignment="1" applyProtection="1">
      <alignment horizontal="left"/>
    </xf>
    <xf numFmtId="164" fontId="11" fillId="3" borderId="25" xfId="2" applyNumberFormat="1" applyFont="1" applyFill="1" applyBorder="1" applyAlignment="1" applyProtection="1">
      <alignment horizontal="right"/>
      <protection locked="0"/>
    </xf>
    <xf numFmtId="0" fontId="18" fillId="2" borderId="12" xfId="0" applyFont="1" applyFill="1" applyBorder="1" applyAlignment="1" applyProtection="1">
      <alignment horizontal="right"/>
    </xf>
    <xf numFmtId="0" fontId="19" fillId="0" borderId="11" xfId="0" applyFont="1" applyFill="1" applyBorder="1" applyAlignment="1" applyProtection="1">
      <alignment horizontal="center"/>
    </xf>
    <xf numFmtId="0" fontId="19" fillId="0" borderId="0" xfId="0" applyFont="1" applyBorder="1" applyAlignment="1" applyProtection="1">
      <alignment horizontal="center"/>
    </xf>
    <xf numFmtId="166" fontId="0" fillId="0" borderId="0" xfId="0" applyNumberFormat="1" applyFont="1" applyFill="1" applyBorder="1" applyAlignment="1" applyProtection="1">
      <alignment horizontal="center"/>
    </xf>
    <xf numFmtId="164" fontId="19" fillId="0" borderId="0" xfId="2" applyNumberFormat="1" applyFont="1" applyBorder="1" applyAlignment="1" applyProtection="1">
      <alignment horizontal="center"/>
    </xf>
    <xf numFmtId="10" fontId="19" fillId="0" borderId="0" xfId="3" applyNumberFormat="1" applyFont="1" applyBorder="1" applyAlignment="1" applyProtection="1">
      <alignment horizontal="center"/>
    </xf>
    <xf numFmtId="9" fontId="19" fillId="0" borderId="12" xfId="3" applyNumberFormat="1" applyFont="1" applyBorder="1" applyAlignment="1" applyProtection="1">
      <alignment horizontal="center"/>
    </xf>
    <xf numFmtId="0" fontId="2" fillId="2" borderId="11" xfId="4" applyFont="1" applyFill="1" applyBorder="1" applyAlignment="1" applyProtection="1">
      <alignment horizontal="left"/>
    </xf>
    <xf numFmtId="0" fontId="2" fillId="2" borderId="0" xfId="4" applyFont="1" applyFill="1" applyBorder="1" applyAlignment="1" applyProtection="1">
      <alignment horizontal="center"/>
    </xf>
    <xf numFmtId="10" fontId="19" fillId="2" borderId="12" xfId="3" applyNumberFormat="1" applyFont="1" applyFill="1" applyBorder="1" applyAlignment="1" applyProtection="1">
      <alignment horizontal="right"/>
    </xf>
    <xf numFmtId="168" fontId="2" fillId="3" borderId="19" xfId="2" applyNumberFormat="1" applyFont="1" applyFill="1" applyBorder="1" applyAlignment="1" applyProtection="1">
      <alignment horizontal="right"/>
      <protection locked="0"/>
    </xf>
    <xf numFmtId="10" fontId="2" fillId="2" borderId="12" xfId="3" applyNumberFormat="1" applyFont="1" applyFill="1" applyBorder="1" applyAlignment="1" applyProtection="1">
      <alignment horizontal="right"/>
    </xf>
    <xf numFmtId="0" fontId="0" fillId="0" borderId="9" xfId="0" applyFill="1" applyBorder="1" applyProtection="1"/>
    <xf numFmtId="166" fontId="0" fillId="0" borderId="0" xfId="0" applyNumberFormat="1" applyFill="1" applyBorder="1" applyProtection="1"/>
    <xf numFmtId="166" fontId="0" fillId="3" borderId="0" xfId="0" applyNumberFormat="1" applyFill="1" applyBorder="1" applyProtection="1">
      <protection locked="0"/>
    </xf>
    <xf numFmtId="0" fontId="20" fillId="0" borderId="0" xfId="0" applyFont="1" applyFill="1" applyBorder="1" applyAlignment="1" applyProtection="1">
      <alignment horizontal="center"/>
    </xf>
    <xf numFmtId="10" fontId="3" fillId="0" borderId="0" xfId="0" applyNumberFormat="1" applyFont="1" applyFill="1" applyBorder="1" applyAlignment="1" applyProtection="1">
      <alignment horizontal="center"/>
    </xf>
    <xf numFmtId="165" fontId="14" fillId="0" borderId="10" xfId="2" applyNumberFormat="1" applyFont="1" applyFill="1" applyBorder="1" applyAlignment="1" applyProtection="1">
      <alignment horizontal="center"/>
    </xf>
    <xf numFmtId="167" fontId="0" fillId="0" borderId="0" xfId="0" applyNumberFormat="1" applyFill="1" applyBorder="1" applyAlignment="1" applyProtection="1">
      <alignment horizontal="right"/>
    </xf>
    <xf numFmtId="169" fontId="0" fillId="0" borderId="0" xfId="0" applyNumberFormat="1" applyFill="1" applyBorder="1" applyAlignment="1" applyProtection="1">
      <alignment horizontal="right"/>
    </xf>
    <xf numFmtId="10" fontId="14" fillId="0" borderId="0" xfId="3" applyNumberFormat="1" applyFont="1" applyFill="1" applyBorder="1" applyAlignment="1" applyProtection="1">
      <alignment horizontal="center"/>
    </xf>
    <xf numFmtId="170" fontId="14" fillId="0" borderId="10" xfId="3" applyNumberFormat="1" applyFont="1" applyFill="1" applyBorder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10" fontId="14" fillId="0" borderId="0" xfId="3" applyNumberFormat="1" applyFont="1" applyFill="1" applyBorder="1" applyAlignment="1" applyProtection="1">
      <alignment horizontal="right"/>
    </xf>
    <xf numFmtId="14" fontId="2" fillId="2" borderId="0" xfId="4" applyNumberFormat="1" applyFont="1" applyFill="1" applyBorder="1" applyAlignment="1" applyProtection="1">
      <alignment horizontal="center"/>
    </xf>
    <xf numFmtId="168" fontId="0" fillId="0" borderId="0" xfId="0" applyNumberFormat="1" applyFill="1" applyBorder="1" applyProtection="1"/>
    <xf numFmtId="10" fontId="14" fillId="0" borderId="0" xfId="3" applyNumberFormat="1" applyFont="1" applyFill="1" applyBorder="1" applyProtection="1"/>
    <xf numFmtId="0" fontId="19" fillId="5" borderId="23" xfId="0" applyFont="1" applyFill="1" applyBorder="1" applyAlignment="1" applyProtection="1">
      <alignment horizontal="center"/>
    </xf>
    <xf numFmtId="0" fontId="19" fillId="5" borderId="26" xfId="0" applyFont="1" applyFill="1" applyBorder="1" applyAlignment="1" applyProtection="1">
      <alignment horizontal="center"/>
    </xf>
    <xf numFmtId="0" fontId="19" fillId="5" borderId="27" xfId="0" applyFont="1" applyFill="1" applyBorder="1" applyAlignment="1" applyProtection="1">
      <alignment horizontal="center"/>
    </xf>
    <xf numFmtId="0" fontId="21" fillId="2" borderId="11" xfId="0" applyFont="1" applyFill="1" applyBorder="1" applyAlignment="1" applyProtection="1">
      <alignment horizontal="left"/>
    </xf>
    <xf numFmtId="0" fontId="21" fillId="2" borderId="0" xfId="4" applyFont="1" applyFill="1" applyBorder="1" applyAlignment="1" applyProtection="1">
      <alignment horizontal="center"/>
    </xf>
    <xf numFmtId="10" fontId="21" fillId="2" borderId="12" xfId="3" applyNumberFormat="1" applyFont="1" applyFill="1" applyBorder="1" applyAlignment="1" applyProtection="1">
      <alignment horizontal="right"/>
    </xf>
    <xf numFmtId="0" fontId="10" fillId="5" borderId="23" xfId="0" applyFont="1" applyFill="1" applyBorder="1" applyAlignment="1" applyProtection="1">
      <alignment horizontal="center"/>
    </xf>
    <xf numFmtId="0" fontId="10" fillId="5" borderId="26" xfId="0" applyFont="1" applyFill="1" applyBorder="1" applyAlignment="1" applyProtection="1">
      <alignment horizontal="center"/>
    </xf>
    <xf numFmtId="0" fontId="10" fillId="5" borderId="27" xfId="0" applyFont="1" applyFill="1" applyBorder="1" applyAlignment="1" applyProtection="1">
      <alignment horizontal="center"/>
    </xf>
    <xf numFmtId="0" fontId="7" fillId="2" borderId="18" xfId="0" applyFont="1" applyFill="1" applyBorder="1" applyAlignment="1" applyProtection="1">
      <alignment horizontal="center"/>
    </xf>
    <xf numFmtId="0" fontId="7" fillId="2" borderId="17" xfId="0" applyFont="1" applyFill="1" applyBorder="1" applyAlignment="1" applyProtection="1">
      <alignment horizontal="center"/>
    </xf>
    <xf numFmtId="0" fontId="7" fillId="2" borderId="19" xfId="0" applyFont="1" applyFill="1" applyBorder="1" applyAlignment="1" applyProtection="1">
      <alignment horizontal="center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19" xfId="0" applyFont="1" applyFill="1" applyBorder="1" applyAlignment="1" applyProtection="1">
      <alignment horizontal="center"/>
      <protection locked="0"/>
    </xf>
    <xf numFmtId="10" fontId="21" fillId="2" borderId="14" xfId="3" applyNumberFormat="1" applyFont="1" applyFill="1" applyBorder="1" applyAlignment="1" applyProtection="1">
      <alignment horizontal="right"/>
    </xf>
    <xf numFmtId="0" fontId="2" fillId="2" borderId="8" xfId="0" applyFont="1" applyFill="1" applyBorder="1" applyAlignment="1" applyProtection="1">
      <alignment horizontal="left"/>
    </xf>
    <xf numFmtId="164" fontId="2" fillId="2" borderId="16" xfId="0" applyNumberFormat="1" applyFont="1" applyFill="1" applyBorder="1" applyAlignment="1" applyProtection="1">
      <alignment horizontal="right"/>
    </xf>
    <xf numFmtId="0" fontId="22" fillId="2" borderId="19" xfId="0" applyFont="1" applyFill="1" applyBorder="1" applyAlignment="1" applyProtection="1">
      <alignment horizontal="center"/>
    </xf>
    <xf numFmtId="0" fontId="11" fillId="2" borderId="23" xfId="0" applyFont="1" applyFill="1" applyBorder="1" applyAlignment="1" applyProtection="1">
      <alignment horizontal="left"/>
    </xf>
    <xf numFmtId="0" fontId="11" fillId="2" borderId="24" xfId="0" applyFont="1" applyFill="1" applyBorder="1" applyAlignment="1" applyProtection="1">
      <alignment horizontal="left"/>
    </xf>
    <xf numFmtId="164" fontId="11" fillId="2" borderId="28" xfId="0" applyNumberFormat="1" applyFont="1" applyFill="1" applyBorder="1" applyAlignment="1" applyProtection="1">
      <alignment horizontal="right"/>
    </xf>
    <xf numFmtId="10" fontId="11" fillId="2" borderId="27" xfId="3" applyNumberFormat="1" applyFont="1" applyFill="1" applyBorder="1" applyAlignment="1" applyProtection="1">
      <alignment horizontal="center"/>
    </xf>
    <xf numFmtId="0" fontId="9" fillId="3" borderId="19" xfId="0" applyFont="1" applyFill="1" applyBorder="1" applyAlignment="1" applyProtection="1">
      <alignment horizontal="center"/>
      <protection locked="0"/>
    </xf>
    <xf numFmtId="164" fontId="19" fillId="2" borderId="28" xfId="0" applyNumberFormat="1" applyFont="1" applyFill="1" applyBorder="1" applyAlignment="1" applyProtection="1">
      <alignment horizontal="right"/>
    </xf>
    <xf numFmtId="10" fontId="19" fillId="2" borderId="27" xfId="3" applyNumberFormat="1" applyFont="1" applyFill="1" applyBorder="1" applyAlignment="1" applyProtection="1">
      <alignment horizontal="center"/>
    </xf>
    <xf numFmtId="0" fontId="7" fillId="2" borderId="29" xfId="0" applyFont="1" applyFill="1" applyBorder="1" applyAlignment="1" applyProtection="1">
      <alignment horizontal="center"/>
    </xf>
    <xf numFmtId="171" fontId="7" fillId="2" borderId="28" xfId="0" applyNumberFormat="1" applyFont="1" applyFill="1" applyBorder="1" applyAlignment="1" applyProtection="1">
      <alignment horizontal="center"/>
    </xf>
    <xf numFmtId="164" fontId="2" fillId="2" borderId="19" xfId="2" applyNumberFormat="1" applyFont="1" applyFill="1" applyBorder="1" applyAlignment="1" applyProtection="1">
      <alignment horizontal="right"/>
    </xf>
    <xf numFmtId="10" fontId="13" fillId="2" borderId="12" xfId="3" applyNumberFormat="1" applyFont="1" applyFill="1" applyBorder="1" applyAlignment="1" applyProtection="1">
      <alignment horizontal="center"/>
    </xf>
    <xf numFmtId="172" fontId="23" fillId="2" borderId="19" xfId="2" applyNumberFormat="1" applyFont="1" applyFill="1" applyBorder="1" applyAlignment="1" applyProtection="1">
      <alignment horizontal="center"/>
    </xf>
    <xf numFmtId="164" fontId="2" fillId="2" borderId="18" xfId="2" applyNumberFormat="1" applyFont="1" applyFill="1" applyBorder="1" applyAlignment="1" applyProtection="1">
      <alignment horizontal="right"/>
    </xf>
    <xf numFmtId="0" fontId="7" fillId="2" borderId="3" xfId="0" applyFont="1" applyFill="1" applyBorder="1" applyAlignment="1" applyProtection="1">
      <alignment horizontal="center"/>
    </xf>
    <xf numFmtId="1" fontId="7" fillId="3" borderId="3" xfId="2" applyNumberFormat="1" applyFont="1" applyFill="1" applyBorder="1" applyAlignment="1" applyProtection="1">
      <alignment horizontal="center"/>
      <protection locked="0"/>
    </xf>
    <xf numFmtId="0" fontId="7" fillId="2" borderId="15" xfId="0" applyFont="1" applyFill="1" applyBorder="1" applyAlignment="1" applyProtection="1">
      <alignment horizontal="left"/>
    </xf>
    <xf numFmtId="164" fontId="24" fillId="2" borderId="0" xfId="2" applyNumberFormat="1" applyFont="1" applyFill="1" applyBorder="1" applyAlignment="1" applyProtection="1">
      <alignment horizontal="right"/>
    </xf>
    <xf numFmtId="0" fontId="2" fillId="2" borderId="15" xfId="0" applyFont="1" applyFill="1" applyBorder="1" applyAlignment="1" applyProtection="1">
      <alignment horizontal="right"/>
    </xf>
    <xf numFmtId="171" fontId="7" fillId="3" borderId="3" xfId="2" applyNumberFormat="1" applyFont="1" applyFill="1" applyBorder="1" applyAlignment="1" applyProtection="1">
      <alignment horizontal="center"/>
      <protection locked="0"/>
    </xf>
    <xf numFmtId="0" fontId="10" fillId="5" borderId="30" xfId="0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right"/>
    </xf>
    <xf numFmtId="164" fontId="2" fillId="3" borderId="0" xfId="0" applyNumberFormat="1" applyFont="1" applyFill="1" applyBorder="1" applyAlignment="1" applyProtection="1">
      <alignment horizontal="right"/>
      <protection locked="0"/>
    </xf>
    <xf numFmtId="0" fontId="7" fillId="2" borderId="1" xfId="0" applyFont="1" applyFill="1" applyBorder="1" applyAlignment="1" applyProtection="1">
      <alignment horizontal="left"/>
    </xf>
    <xf numFmtId="0" fontId="7" fillId="2" borderId="30" xfId="0" applyFont="1" applyFill="1" applyBorder="1" applyAlignment="1" applyProtection="1">
      <alignment horizontal="left"/>
    </xf>
    <xf numFmtId="164" fontId="19" fillId="2" borderId="30" xfId="0" applyNumberFormat="1" applyFont="1" applyFill="1" applyBorder="1" applyAlignment="1" applyProtection="1">
      <alignment horizontal="right"/>
    </xf>
    <xf numFmtId="10" fontId="19" fillId="2" borderId="2" xfId="3" applyNumberFormat="1" applyFont="1" applyFill="1" applyBorder="1" applyAlignment="1" applyProtection="1">
      <alignment horizontal="center"/>
    </xf>
    <xf numFmtId="164" fontId="25" fillId="0" borderId="31" xfId="2" applyNumberFormat="1" applyFont="1" applyFill="1" applyBorder="1" applyProtection="1">
      <protection locked="0"/>
    </xf>
    <xf numFmtId="0" fontId="7" fillId="2" borderId="13" xfId="0" applyFont="1" applyFill="1" applyBorder="1" applyAlignment="1" applyProtection="1">
      <alignment horizontal="left"/>
    </xf>
    <xf numFmtId="0" fontId="7" fillId="2" borderId="17" xfId="0" applyFont="1" applyFill="1" applyBorder="1" applyAlignment="1" applyProtection="1">
      <alignment horizontal="left"/>
    </xf>
    <xf numFmtId="164" fontId="7" fillId="2" borderId="17" xfId="0" applyNumberFormat="1" applyFont="1" applyFill="1" applyBorder="1" applyAlignment="1" applyProtection="1">
      <alignment horizontal="right"/>
    </xf>
    <xf numFmtId="0" fontId="10" fillId="5" borderId="8" xfId="0" applyFont="1" applyFill="1" applyBorder="1" applyAlignment="1" applyProtection="1">
      <alignment horizontal="center"/>
    </xf>
    <xf numFmtId="0" fontId="7" fillId="2" borderId="7" xfId="0" applyFont="1" applyFill="1" applyBorder="1" applyAlignment="1" applyProtection="1">
      <alignment horizontal="left"/>
    </xf>
    <xf numFmtId="0" fontId="7" fillId="2" borderId="8" xfId="0" applyFont="1" applyFill="1" applyBorder="1" applyAlignment="1" applyProtection="1">
      <alignment horizontal="left"/>
    </xf>
    <xf numFmtId="164" fontId="7" fillId="3" borderId="15" xfId="0" applyNumberFormat="1" applyFont="1" applyFill="1" applyBorder="1" applyAlignment="1" applyProtection="1">
      <alignment horizontal="right"/>
      <protection locked="0"/>
    </xf>
    <xf numFmtId="10" fontId="7" fillId="2" borderId="16" xfId="3" applyNumberFormat="1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left"/>
    </xf>
    <xf numFmtId="0" fontId="7" fillId="2" borderId="12" xfId="0" applyFont="1" applyFill="1" applyBorder="1" applyAlignment="1" applyProtection="1">
      <alignment horizontal="left"/>
    </xf>
    <xf numFmtId="164" fontId="7" fillId="3" borderId="0" xfId="0" applyNumberFormat="1" applyFont="1" applyFill="1" applyBorder="1" applyAlignment="1" applyProtection="1">
      <alignment horizontal="right"/>
      <protection locked="0"/>
    </xf>
    <xf numFmtId="10" fontId="7" fillId="2" borderId="19" xfId="3" applyNumberFormat="1" applyFont="1" applyFill="1" applyBorder="1" applyAlignment="1" applyProtection="1">
      <alignment horizontal="center"/>
    </xf>
    <xf numFmtId="0" fontId="10" fillId="5" borderId="1" xfId="4" applyFont="1" applyFill="1" applyBorder="1" applyAlignment="1" applyProtection="1">
      <alignment horizontal="center"/>
    </xf>
    <xf numFmtId="0" fontId="10" fillId="5" borderId="30" xfId="4" applyFont="1" applyFill="1" applyBorder="1" applyAlignment="1" applyProtection="1">
      <alignment horizontal="center"/>
    </xf>
    <xf numFmtId="10" fontId="7" fillId="2" borderId="1" xfId="3" applyNumberFormat="1" applyFont="1" applyFill="1" applyBorder="1" applyAlignment="1" applyProtection="1">
      <alignment horizontal="center"/>
    </xf>
    <xf numFmtId="10" fontId="7" fillId="2" borderId="30" xfId="3" applyNumberFormat="1" applyFont="1" applyFill="1" applyBorder="1" applyAlignment="1" applyProtection="1">
      <alignment horizontal="center"/>
    </xf>
    <xf numFmtId="0" fontId="7" fillId="2" borderId="3" xfId="3" applyNumberFormat="1" applyFont="1" applyFill="1" applyBorder="1" applyAlignment="1" applyProtection="1">
      <alignment horizontal="left"/>
    </xf>
    <xf numFmtId="0" fontId="3" fillId="3" borderId="3" xfId="5" applyFont="1" applyFill="1" applyBorder="1" applyAlignment="1" applyProtection="1">
      <alignment horizontal="center"/>
      <protection locked="0"/>
    </xf>
    <xf numFmtId="10" fontId="7" fillId="2" borderId="3" xfId="3" applyNumberFormat="1" applyFont="1" applyFill="1" applyBorder="1" applyAlignment="1" applyProtection="1">
      <alignment horizontal="center"/>
    </xf>
    <xf numFmtId="0" fontId="22" fillId="2" borderId="3" xfId="3" applyNumberFormat="1" applyFont="1" applyFill="1" applyBorder="1" applyAlignment="1" applyProtection="1">
      <alignment horizontal="left"/>
    </xf>
    <xf numFmtId="0" fontId="7" fillId="2" borderId="13" xfId="0" applyFont="1" applyFill="1" applyBorder="1" applyAlignment="1" applyProtection="1">
      <alignment horizontal="left"/>
    </xf>
    <xf numFmtId="0" fontId="7" fillId="2" borderId="14" xfId="0" applyFont="1" applyFill="1" applyBorder="1" applyAlignment="1" applyProtection="1">
      <alignment horizontal="left"/>
    </xf>
    <xf numFmtId="164" fontId="7" fillId="3" borderId="17" xfId="0" applyNumberFormat="1" applyFont="1" applyFill="1" applyBorder="1" applyAlignment="1" applyProtection="1">
      <alignment horizontal="right"/>
      <protection locked="0"/>
    </xf>
    <xf numFmtId="10" fontId="7" fillId="2" borderId="18" xfId="3" applyNumberFormat="1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center"/>
      <protection locked="0"/>
    </xf>
    <xf numFmtId="165" fontId="24" fillId="2" borderId="0" xfId="0" applyNumberFormat="1" applyFont="1" applyFill="1" applyAlignment="1" applyProtection="1">
      <alignment horizontal="right"/>
    </xf>
    <xf numFmtId="164" fontId="24" fillId="2" borderId="0" xfId="0" applyNumberFormat="1" applyFont="1" applyFill="1" applyAlignment="1" applyProtection="1">
      <alignment horizontal="right"/>
    </xf>
    <xf numFmtId="10" fontId="24" fillId="2" borderId="0" xfId="0" applyNumberFormat="1" applyFont="1" applyFill="1" applyAlignment="1" applyProtection="1">
      <alignment horizontal="center"/>
    </xf>
    <xf numFmtId="0" fontId="7" fillId="3" borderId="15" xfId="0" applyNumberFormat="1" applyFont="1" applyFill="1" applyBorder="1" applyAlignment="1" applyProtection="1">
      <alignment horizontal="center"/>
      <protection locked="0"/>
    </xf>
    <xf numFmtId="0" fontId="7" fillId="3" borderId="0" xfId="0" applyNumberFormat="1" applyFont="1" applyFill="1" applyBorder="1" applyAlignment="1" applyProtection="1">
      <alignment horizontal="center"/>
      <protection locked="0"/>
    </xf>
    <xf numFmtId="0" fontId="26" fillId="7" borderId="1" xfId="4" applyFont="1" applyFill="1" applyBorder="1" applyAlignment="1" applyProtection="1">
      <alignment horizontal="center"/>
    </xf>
    <xf numFmtId="0" fontId="26" fillId="7" borderId="30" xfId="4" applyFont="1" applyFill="1" applyBorder="1" applyAlignment="1" applyProtection="1">
      <alignment horizontal="center"/>
    </xf>
    <xf numFmtId="0" fontId="26" fillId="7" borderId="2" xfId="4" applyFont="1" applyFill="1" applyBorder="1" applyAlignment="1" applyProtection="1">
      <alignment horizontal="center"/>
    </xf>
    <xf numFmtId="0" fontId="7" fillId="3" borderId="17" xfId="0" applyNumberFormat="1" applyFont="1" applyFill="1" applyBorder="1" applyAlignment="1" applyProtection="1">
      <alignment horizontal="center"/>
      <protection locked="0"/>
    </xf>
    <xf numFmtId="0" fontId="10" fillId="5" borderId="12" xfId="0" applyFont="1" applyFill="1" applyBorder="1" applyAlignment="1" applyProtection="1">
      <alignment horizontal="center"/>
    </xf>
    <xf numFmtId="0" fontId="2" fillId="2" borderId="0" xfId="0" applyFont="1" applyFill="1" applyProtection="1"/>
    <xf numFmtId="0" fontId="27" fillId="5" borderId="7" xfId="5" applyFont="1" applyFill="1" applyBorder="1" applyAlignment="1" applyProtection="1">
      <alignment horizontal="center"/>
    </xf>
    <xf numFmtId="0" fontId="27" fillId="5" borderId="15" xfId="5" applyFont="1" applyFill="1" applyBorder="1" applyAlignment="1" applyProtection="1">
      <alignment horizontal="center"/>
    </xf>
    <xf numFmtId="0" fontId="27" fillId="5" borderId="8" xfId="5" applyFont="1" applyFill="1" applyBorder="1" applyAlignment="1" applyProtection="1">
      <alignment horizontal="center"/>
    </xf>
    <xf numFmtId="1" fontId="17" fillId="5" borderId="16" xfId="3" applyNumberFormat="1" applyFont="1" applyFill="1" applyBorder="1" applyAlignment="1" applyProtection="1">
      <alignment horizontal="center"/>
    </xf>
    <xf numFmtId="10" fontId="17" fillId="5" borderId="7" xfId="3" applyNumberFormat="1" applyFont="1" applyFill="1" applyBorder="1" applyAlignment="1" applyProtection="1">
      <alignment horizontal="center"/>
    </xf>
    <xf numFmtId="0" fontId="17" fillId="5" borderId="8" xfId="5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2" fontId="8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2" borderId="0" xfId="0" applyFill="1" applyProtection="1"/>
    <xf numFmtId="9" fontId="2" fillId="0" borderId="0" xfId="3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left"/>
    </xf>
    <xf numFmtId="2" fontId="28" fillId="0" borderId="0" xfId="1" applyNumberFormat="1" applyFont="1" applyFill="1" applyBorder="1" applyAlignment="1" applyProtection="1">
      <alignment horizontal="center"/>
    </xf>
    <xf numFmtId="10" fontId="2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Protection="1"/>
    <xf numFmtId="0" fontId="7" fillId="0" borderId="0" xfId="0" applyFont="1" applyFill="1" applyBorder="1" applyAlignment="1" applyProtection="1"/>
    <xf numFmtId="164" fontId="29" fillId="0" borderId="0" xfId="2" applyNumberFormat="1" applyFont="1" applyFill="1" applyBorder="1" applyProtection="1"/>
    <xf numFmtId="10" fontId="7" fillId="0" borderId="0" xfId="3" applyNumberFormat="1" applyFont="1" applyFill="1" applyBorder="1" applyAlignment="1" applyProtection="1">
      <alignment horizontal="center"/>
    </xf>
    <xf numFmtId="3" fontId="8" fillId="0" borderId="0" xfId="0" applyNumberFormat="1" applyFont="1" applyFill="1" applyBorder="1" applyAlignment="1" applyProtection="1">
      <alignment horizontal="center"/>
    </xf>
    <xf numFmtId="10" fontId="8" fillId="0" borderId="0" xfId="3" applyNumberFormat="1" applyFont="1" applyFill="1" applyBorder="1" applyAlignment="1" applyProtection="1">
      <alignment horizontal="center"/>
    </xf>
    <xf numFmtId="43" fontId="0" fillId="0" borderId="0" xfId="0" applyNumberFormat="1" applyProtection="1"/>
    <xf numFmtId="171" fontId="7" fillId="2" borderId="0" xfId="0" applyNumberFormat="1" applyFont="1" applyFill="1" applyBorder="1" applyAlignment="1" applyProtection="1">
      <alignment horizontal="center"/>
    </xf>
  </cellXfs>
  <cellStyles count="6">
    <cellStyle name="Millares" xfId="1" builtinId="3"/>
    <cellStyle name="Moneda" xfId="2" builtinId="4"/>
    <cellStyle name="Normal" xfId="0" builtinId="0"/>
    <cellStyle name="Normal_IND SEM 43" xfId="4"/>
    <cellStyle name="Normal_INDICADOR   2003 AJUSCO" xfId="5"/>
    <cellStyle name="Porcentual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74D03D02-C3FC-47AB-AF4C-025CF31C659B}">
  <header guid="{74D03D02-C3FC-47AB-AF4C-025CF31C659B}" dateTime="2018-11-26T10:55:40" maxSheetId="14" userName="Usuario de Windows" r:id="rId1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/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tabSelected="1" workbookViewId="0">
      <selection sqref="A1:L103"/>
    </sheetView>
  </sheetViews>
  <sheetFormatPr baseColWidth="10" defaultRowHeight="15"/>
  <sheetData>
    <row r="1" spans="1:12" ht="22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1"/>
      <c r="L1" s="3"/>
    </row>
    <row r="2" spans="1:12" ht="16.5">
      <c r="A2" s="4"/>
      <c r="B2" s="3"/>
      <c r="C2" s="5"/>
      <c r="D2" s="5"/>
      <c r="E2" s="5"/>
      <c r="F2" s="5" t="s">
        <v>2</v>
      </c>
      <c r="G2" s="6"/>
      <c r="H2" s="6"/>
      <c r="I2" s="5"/>
      <c r="J2" s="5"/>
      <c r="K2" s="4"/>
      <c r="L2" s="3"/>
    </row>
    <row r="3" spans="1:12">
      <c r="A3" s="7" t="s">
        <v>3</v>
      </c>
      <c r="B3" s="8"/>
      <c r="C3" s="9"/>
      <c r="D3" s="10"/>
      <c r="E3" s="10"/>
      <c r="F3" s="11" t="s">
        <v>4</v>
      </c>
      <c r="G3" s="12"/>
      <c r="H3" s="12"/>
      <c r="I3" s="13"/>
      <c r="J3" s="14"/>
      <c r="K3" s="14"/>
      <c r="L3" s="3"/>
    </row>
    <row r="4" spans="1:12">
      <c r="A4" s="7" t="s">
        <v>5</v>
      </c>
      <c r="B4" s="8"/>
      <c r="C4" s="9"/>
      <c r="D4" s="10"/>
      <c r="E4" s="10"/>
      <c r="F4" s="11" t="s">
        <v>6</v>
      </c>
      <c r="G4" s="15"/>
      <c r="H4" s="15"/>
      <c r="I4" s="13"/>
      <c r="J4" s="11" t="s">
        <v>7</v>
      </c>
      <c r="K4" s="16"/>
      <c r="L4" s="3"/>
    </row>
    <row r="5" spans="1:12" ht="15.75" thickBot="1">
      <c r="A5" s="17"/>
      <c r="B5" s="17"/>
      <c r="C5" s="17"/>
      <c r="D5" s="17"/>
      <c r="E5" s="17"/>
      <c r="F5" s="17"/>
      <c r="G5" s="17"/>
      <c r="H5" s="17"/>
      <c r="I5" s="18"/>
      <c r="J5" s="17"/>
      <c r="K5" s="17"/>
      <c r="L5" s="3"/>
    </row>
    <row r="6" spans="1:12">
      <c r="A6" s="19" t="s">
        <v>8</v>
      </c>
      <c r="B6" s="20"/>
      <c r="C6" s="21" t="s">
        <v>9</v>
      </c>
      <c r="D6" s="21" t="s">
        <v>10</v>
      </c>
      <c r="E6" s="1"/>
      <c r="F6" s="22" t="s">
        <v>11</v>
      </c>
      <c r="G6" s="23"/>
      <c r="H6" s="23"/>
      <c r="I6" s="23"/>
      <c r="J6" s="23"/>
      <c r="K6" s="24"/>
      <c r="L6" s="3"/>
    </row>
    <row r="7" spans="1:12">
      <c r="A7" s="25" t="s">
        <v>12</v>
      </c>
      <c r="B7" s="26"/>
      <c r="C7" s="27">
        <v>151033.49</v>
      </c>
      <c r="D7" s="28"/>
      <c r="E7" s="1"/>
      <c r="F7" s="29" t="s">
        <v>13</v>
      </c>
      <c r="G7" s="30" t="s">
        <v>14</v>
      </c>
      <c r="H7" s="30" t="s">
        <v>15</v>
      </c>
      <c r="I7" s="30" t="s">
        <v>16</v>
      </c>
      <c r="J7" s="30" t="s">
        <v>17</v>
      </c>
      <c r="K7" s="31"/>
      <c r="L7" s="3"/>
    </row>
    <row r="8" spans="1:12" ht="15.75">
      <c r="A8" s="32" t="s">
        <v>18</v>
      </c>
      <c r="B8" s="33"/>
      <c r="C8" s="34"/>
      <c r="D8" s="35">
        <f>+C8/C7</f>
        <v>0</v>
      </c>
      <c r="E8" s="1"/>
      <c r="F8" s="36" t="s">
        <v>19</v>
      </c>
      <c r="G8" s="37">
        <v>2437</v>
      </c>
      <c r="H8" s="38">
        <v>77203.28</v>
      </c>
      <c r="I8" s="39">
        <f t="shared" ref="I8:I25" si="0">IF(G8&gt;0,(H8/G8),0)</f>
        <v>31.679638900287237</v>
      </c>
      <c r="J8" s="40">
        <f>+H8/$C$12</f>
        <v>0.59295329002858899</v>
      </c>
      <c r="K8" s="41"/>
      <c r="L8" s="42"/>
    </row>
    <row r="9" spans="1:12" ht="15.75">
      <c r="A9" s="32" t="s">
        <v>20</v>
      </c>
      <c r="B9" s="33"/>
      <c r="C9" s="43">
        <f>((C7/1.16)-C7)*-1</f>
        <v>20832.205517241367</v>
      </c>
      <c r="D9" s="35"/>
      <c r="E9" s="1"/>
      <c r="F9" s="36" t="s">
        <v>21</v>
      </c>
      <c r="G9" s="37">
        <v>90</v>
      </c>
      <c r="H9" s="44">
        <v>3810.71</v>
      </c>
      <c r="I9" s="39">
        <f t="shared" si="0"/>
        <v>42.341222222222221</v>
      </c>
      <c r="J9" s="40">
        <f t="shared" ref="J9:J25" si="1">+H9/$C$12</f>
        <v>2.9267837219414051E-2</v>
      </c>
      <c r="K9" s="41"/>
      <c r="L9" s="42"/>
    </row>
    <row r="10" spans="1:12" ht="15.75">
      <c r="A10" s="32" t="s">
        <v>22</v>
      </c>
      <c r="B10" s="33"/>
      <c r="C10" s="45">
        <f>+C7-C11</f>
        <v>151033.49</v>
      </c>
      <c r="D10" s="46">
        <f>+C10/C7</f>
        <v>1</v>
      </c>
      <c r="E10" s="1"/>
      <c r="F10" s="36" t="s">
        <v>23</v>
      </c>
      <c r="G10" s="37">
        <v>93</v>
      </c>
      <c r="H10" s="44">
        <v>4289.6899999999996</v>
      </c>
      <c r="I10" s="39">
        <f t="shared" si="0"/>
        <v>46.125698924731175</v>
      </c>
      <c r="J10" s="40">
        <f t="shared" si="1"/>
        <v>3.2946602770021399E-2</v>
      </c>
      <c r="K10" s="41"/>
      <c r="L10" s="42"/>
    </row>
    <row r="11" spans="1:12" ht="15.75">
      <c r="A11" s="47" t="s">
        <v>24</v>
      </c>
      <c r="B11" s="48"/>
      <c r="C11" s="49">
        <v>0</v>
      </c>
      <c r="D11" s="50">
        <f>+C11/C7</f>
        <v>0</v>
      </c>
      <c r="E11" s="1"/>
      <c r="F11" s="36" t="s">
        <v>25</v>
      </c>
      <c r="G11" s="37">
        <v>449</v>
      </c>
      <c r="H11" s="44">
        <v>9093.23</v>
      </c>
      <c r="I11" s="39">
        <f t="shared" si="0"/>
        <v>20.252182628062361</v>
      </c>
      <c r="J11" s="40">
        <f t="shared" si="1"/>
        <v>6.983978718892081E-2</v>
      </c>
      <c r="K11" s="41"/>
      <c r="L11" s="42"/>
    </row>
    <row r="12" spans="1:12" ht="15.75">
      <c r="A12" s="51" t="s">
        <v>26</v>
      </c>
      <c r="B12" s="52"/>
      <c r="C12" s="53">
        <f>+C7-C9-C8</f>
        <v>130201.28448275862</v>
      </c>
      <c r="D12" s="54">
        <v>1</v>
      </c>
      <c r="E12" s="1"/>
      <c r="F12" s="36" t="s">
        <v>27</v>
      </c>
      <c r="G12" s="37">
        <v>378</v>
      </c>
      <c r="H12" s="44">
        <v>9284.92</v>
      </c>
      <c r="I12" s="39">
        <f t="shared" si="0"/>
        <v>24.563280423280425</v>
      </c>
      <c r="J12" s="40">
        <f t="shared" si="1"/>
        <v>7.1312046089910264E-2</v>
      </c>
      <c r="K12" s="41"/>
      <c r="L12" s="42"/>
    </row>
    <row r="13" spans="1:12" ht="15.75">
      <c r="A13" s="32" t="s">
        <v>28</v>
      </c>
      <c r="B13" s="33"/>
      <c r="C13" s="55">
        <f>+H19+H21</f>
        <v>4055.0600000000004</v>
      </c>
      <c r="D13" s="56">
        <f>+C13/C$12</f>
        <v>3.1144546815411605E-2</v>
      </c>
      <c r="E13" s="1"/>
      <c r="F13" s="36" t="s">
        <v>29</v>
      </c>
      <c r="G13" s="37">
        <v>46</v>
      </c>
      <c r="H13" s="44">
        <v>2002.53</v>
      </c>
      <c r="I13" s="39">
        <f t="shared" si="0"/>
        <v>43.533260869565218</v>
      </c>
      <c r="J13" s="40">
        <f t="shared" si="1"/>
        <v>1.5380263013189987E-2</v>
      </c>
      <c r="K13" s="41"/>
      <c r="L13" s="42"/>
    </row>
    <row r="14" spans="1:12" ht="15.75">
      <c r="A14" s="32" t="s">
        <v>30</v>
      </c>
      <c r="B14" s="33"/>
      <c r="C14" s="57">
        <f>+C12-C13-C15</f>
        <v>117459.11448275862</v>
      </c>
      <c r="D14" s="56">
        <f>+C14/C$12</f>
        <v>0.90213483645249803</v>
      </c>
      <c r="E14" s="1"/>
      <c r="F14" s="36" t="s">
        <v>31</v>
      </c>
      <c r="G14" s="37">
        <v>34</v>
      </c>
      <c r="H14" s="44">
        <v>969</v>
      </c>
      <c r="I14" s="39">
        <f t="shared" si="0"/>
        <v>28.5</v>
      </c>
      <c r="J14" s="40">
        <f t="shared" si="1"/>
        <v>7.4423228914328871E-3</v>
      </c>
      <c r="K14" s="41"/>
      <c r="L14" s="42"/>
    </row>
    <row r="15" spans="1:12" ht="15.75">
      <c r="A15" s="32" t="s">
        <v>32</v>
      </c>
      <c r="B15" s="33"/>
      <c r="C15" s="55">
        <f>+H16</f>
        <v>8687.11</v>
      </c>
      <c r="D15" s="56">
        <f>+C15/C$12</f>
        <v>6.6720616732090343E-2</v>
      </c>
      <c r="E15" s="1"/>
      <c r="F15" s="36" t="s">
        <v>33</v>
      </c>
      <c r="G15" s="37">
        <v>0</v>
      </c>
      <c r="H15" s="44">
        <v>0</v>
      </c>
      <c r="I15" s="39">
        <f t="shared" si="0"/>
        <v>0</v>
      </c>
      <c r="J15" s="40">
        <f t="shared" si="1"/>
        <v>0</v>
      </c>
      <c r="K15" s="41"/>
      <c r="L15" s="42"/>
    </row>
    <row r="16" spans="1:12" ht="15.75">
      <c r="A16" s="47" t="s">
        <v>34</v>
      </c>
      <c r="B16" s="48"/>
      <c r="C16" s="58"/>
      <c r="D16" s="59">
        <f>+C16/C$12</f>
        <v>0</v>
      </c>
      <c r="E16" s="1"/>
      <c r="F16" s="36" t="s">
        <v>35</v>
      </c>
      <c r="G16" s="37">
        <v>33</v>
      </c>
      <c r="H16" s="44">
        <v>8687.11</v>
      </c>
      <c r="I16" s="39">
        <f t="shared" si="0"/>
        <v>263.24575757575758</v>
      </c>
      <c r="J16" s="40">
        <f t="shared" si="1"/>
        <v>6.6720616732090343E-2</v>
      </c>
      <c r="K16" s="41"/>
      <c r="L16" s="42"/>
    </row>
    <row r="17" spans="1:12" ht="15.75">
      <c r="A17" s="60" t="s">
        <v>36</v>
      </c>
      <c r="B17" s="61"/>
      <c r="C17" s="62">
        <v>81805</v>
      </c>
      <c r="D17" s="63">
        <f>((C$12-C17)/C17)</f>
        <v>0.59160545789082108</v>
      </c>
      <c r="E17" s="1"/>
      <c r="F17" s="36" t="s">
        <v>37</v>
      </c>
      <c r="G17" s="37">
        <v>146</v>
      </c>
      <c r="H17" s="44">
        <v>2853.4</v>
      </c>
      <c r="I17" s="39">
        <f t="shared" si="0"/>
        <v>19.543835616438358</v>
      </c>
      <c r="J17" s="40">
        <f t="shared" si="1"/>
        <v>2.191529838845676E-2</v>
      </c>
      <c r="K17" s="41"/>
      <c r="L17" s="42"/>
    </row>
    <row r="18" spans="1:12" ht="15.75">
      <c r="A18" s="47" t="s">
        <v>38</v>
      </c>
      <c r="B18" s="64"/>
      <c r="C18" s="65">
        <v>0</v>
      </c>
      <c r="D18" s="59" t="e">
        <f>((C$12-C18)/C18)</f>
        <v>#DIV/0!</v>
      </c>
      <c r="E18" s="1"/>
      <c r="F18" s="36" t="s">
        <v>39</v>
      </c>
      <c r="G18" s="37">
        <v>72</v>
      </c>
      <c r="H18" s="38">
        <v>2257.12</v>
      </c>
      <c r="I18" s="39">
        <f t="shared" si="0"/>
        <v>31.348888888888887</v>
      </c>
      <c r="J18" s="40">
        <f t="shared" si="1"/>
        <v>1.7335620066781215E-2</v>
      </c>
      <c r="K18" s="41"/>
      <c r="L18" s="42"/>
    </row>
    <row r="19" spans="1:12" ht="15.75">
      <c r="A19" s="25" t="s">
        <v>40</v>
      </c>
      <c r="B19" s="26"/>
      <c r="C19" s="66">
        <v>2326</v>
      </c>
      <c r="D19" s="28"/>
      <c r="E19" s="1"/>
      <c r="F19" s="36" t="s">
        <v>41</v>
      </c>
      <c r="G19" s="37">
        <v>33</v>
      </c>
      <c r="H19" s="44">
        <v>1436.16</v>
      </c>
      <c r="I19" s="39">
        <f t="shared" si="0"/>
        <v>43.52</v>
      </c>
      <c r="J19" s="40">
        <f t="shared" si="1"/>
        <v>1.1030305927513162E-2</v>
      </c>
      <c r="K19" s="41"/>
      <c r="L19" s="42"/>
    </row>
    <row r="20" spans="1:12" ht="15.75">
      <c r="A20" s="32" t="s">
        <v>42</v>
      </c>
      <c r="B20" s="33"/>
      <c r="C20" s="67">
        <v>1162</v>
      </c>
      <c r="D20" s="68">
        <f>((C$19-C20)/C20)</f>
        <v>1.0017211703958693</v>
      </c>
      <c r="E20" s="1"/>
      <c r="F20" s="36" t="s">
        <v>43</v>
      </c>
      <c r="G20" s="37">
        <v>5</v>
      </c>
      <c r="H20" s="44">
        <v>439.65</v>
      </c>
      <c r="I20" s="39">
        <f t="shared" si="0"/>
        <v>87.929999999999993</v>
      </c>
      <c r="J20" s="40">
        <f t="shared" si="1"/>
        <v>3.3766947979550757E-3</v>
      </c>
      <c r="K20" s="41"/>
      <c r="L20" s="42"/>
    </row>
    <row r="21" spans="1:12" ht="15.75">
      <c r="A21" s="32" t="s">
        <v>44</v>
      </c>
      <c r="B21" s="33"/>
      <c r="C21" s="67">
        <v>0</v>
      </c>
      <c r="D21" s="68" t="e">
        <f>((C$19-C21)/C21)</f>
        <v>#DIV/0!</v>
      </c>
      <c r="E21" s="1"/>
      <c r="F21" s="36" t="s">
        <v>45</v>
      </c>
      <c r="G21" s="37">
        <v>71</v>
      </c>
      <c r="H21" s="44">
        <v>2618.9</v>
      </c>
      <c r="I21" s="39">
        <f t="shared" si="0"/>
        <v>36.88591549295775</v>
      </c>
      <c r="J21" s="40">
        <f t="shared" si="1"/>
        <v>2.0114240887898441E-2</v>
      </c>
      <c r="K21" s="41"/>
      <c r="L21" s="42"/>
    </row>
    <row r="22" spans="1:12" ht="15.75">
      <c r="A22" s="51" t="s">
        <v>46</v>
      </c>
      <c r="B22" s="52"/>
      <c r="C22" s="53">
        <f>+C12/C19</f>
        <v>55.976476561805086</v>
      </c>
      <c r="D22" s="68"/>
      <c r="E22" s="1"/>
      <c r="F22" s="36" t="s">
        <v>47</v>
      </c>
      <c r="G22" s="37">
        <v>180</v>
      </c>
      <c r="H22" s="44">
        <v>4542.1499999999996</v>
      </c>
      <c r="I22" s="39">
        <f t="shared" si="0"/>
        <v>25.234166666666663</v>
      </c>
      <c r="J22" s="40">
        <f t="shared" si="1"/>
        <v>3.4885600537999877E-2</v>
      </c>
      <c r="K22" s="41"/>
      <c r="L22" s="42"/>
    </row>
    <row r="23" spans="1:12" ht="15.75">
      <c r="A23" s="32" t="s">
        <v>48</v>
      </c>
      <c r="B23" s="69"/>
      <c r="C23" s="70">
        <v>70</v>
      </c>
      <c r="D23" s="68">
        <f>((C$22-C23)/C23)</f>
        <v>-0.2003360491170702</v>
      </c>
      <c r="E23" s="1"/>
      <c r="F23" s="36" t="s">
        <v>49</v>
      </c>
      <c r="G23" s="37">
        <v>0</v>
      </c>
      <c r="H23" s="44">
        <v>0</v>
      </c>
      <c r="I23" s="39">
        <f t="shared" si="0"/>
        <v>0</v>
      </c>
      <c r="J23" s="40">
        <f t="shared" si="1"/>
        <v>0</v>
      </c>
      <c r="K23" s="41"/>
      <c r="L23" s="42"/>
    </row>
    <row r="24" spans="1:12" ht="15.75">
      <c r="A24" s="71"/>
      <c r="B24" s="72"/>
      <c r="C24" s="73">
        <f>C22-C23</f>
        <v>-14.023523438194914</v>
      </c>
      <c r="D24" s="68"/>
      <c r="E24" s="1"/>
      <c r="F24" s="36" t="s">
        <v>50</v>
      </c>
      <c r="G24" s="37">
        <v>275</v>
      </c>
      <c r="H24" s="44">
        <v>1766.97</v>
      </c>
      <c r="I24" s="39">
        <f t="shared" si="0"/>
        <v>6.4253454545454547</v>
      </c>
      <c r="J24" s="40">
        <f>+H24/$C$12</f>
        <v>1.3571064271904198E-2</v>
      </c>
      <c r="K24" s="41"/>
      <c r="L24" s="42"/>
    </row>
    <row r="25" spans="1:12" ht="15.75">
      <c r="A25" s="74" t="s">
        <v>51</v>
      </c>
      <c r="B25" s="75"/>
      <c r="C25" s="76">
        <f>+H32</f>
        <v>60</v>
      </c>
      <c r="D25" s="77">
        <f>((C$22-C25)/C25)</f>
        <v>-6.7058723969915232E-2</v>
      </c>
      <c r="E25" s="1" t="s">
        <v>52</v>
      </c>
      <c r="F25" s="36" t="s">
        <v>53</v>
      </c>
      <c r="G25" s="78">
        <v>24</v>
      </c>
      <c r="H25" s="44">
        <v>0</v>
      </c>
      <c r="I25" s="39">
        <f t="shared" si="0"/>
        <v>0</v>
      </c>
      <c r="J25" s="40">
        <f t="shared" si="1"/>
        <v>0</v>
      </c>
      <c r="K25" s="41"/>
      <c r="L25" s="42"/>
    </row>
    <row r="26" spans="1:12" ht="16.5" thickBot="1">
      <c r="A26" s="79" t="s">
        <v>54</v>
      </c>
      <c r="B26" s="80"/>
      <c r="C26" s="80"/>
      <c r="D26" s="81"/>
      <c r="E26" s="1"/>
      <c r="F26" s="82" t="s">
        <v>55</v>
      </c>
      <c r="G26" s="83">
        <v>384</v>
      </c>
      <c r="H26" s="84">
        <v>8110.08</v>
      </c>
      <c r="I26" s="85">
        <f>IF(G26&gt;0,(H26/G26),0)</f>
        <v>21.12</v>
      </c>
      <c r="J26" s="86">
        <f>+H26/$C$12</f>
        <v>6.2288786414191978E-2</v>
      </c>
      <c r="K26" s="87"/>
      <c r="L26" s="42"/>
    </row>
    <row r="27" spans="1:12" ht="15.75" thickBot="1">
      <c r="A27" s="88" t="s">
        <v>56</v>
      </c>
      <c r="B27" s="89"/>
      <c r="C27" s="90"/>
      <c r="D27" s="91"/>
      <c r="E27" s="1"/>
      <c r="F27" s="92" t="s">
        <v>57</v>
      </c>
      <c r="G27" s="93">
        <f>SUM(G8:G26)</f>
        <v>4750</v>
      </c>
      <c r="H27" s="94">
        <f>SUM(H8:H26)</f>
        <v>139364.89999999997</v>
      </c>
      <c r="I27" s="95">
        <f>+H27/G27</f>
        <v>29.339978947368415</v>
      </c>
      <c r="J27" s="96">
        <f>SUM(J8:J26)</f>
        <v>1.0703803772262694</v>
      </c>
      <c r="K27" s="97"/>
      <c r="L27" s="3"/>
    </row>
    <row r="28" spans="1:12" ht="15.75" thickBot="1">
      <c r="A28" s="98" t="s">
        <v>58</v>
      </c>
      <c r="B28" s="99"/>
      <c r="C28" s="90">
        <v>55103.75</v>
      </c>
      <c r="D28" s="100"/>
      <c r="E28" s="1"/>
      <c r="F28" s="22" t="s">
        <v>59</v>
      </c>
      <c r="G28" s="23"/>
      <c r="H28" s="23"/>
      <c r="I28" s="23"/>
      <c r="J28" s="23"/>
      <c r="K28" s="24"/>
      <c r="L28" s="3"/>
    </row>
    <row r="29" spans="1:12">
      <c r="A29" s="98" t="s">
        <v>60</v>
      </c>
      <c r="B29" s="99"/>
      <c r="C29" s="101"/>
      <c r="D29" s="102"/>
      <c r="E29" s="1"/>
      <c r="F29" s="29"/>
      <c r="G29" s="30" t="s">
        <v>61</v>
      </c>
      <c r="H29" s="30" t="s">
        <v>62</v>
      </c>
      <c r="I29" s="30"/>
      <c r="J29" s="30" t="s">
        <v>63</v>
      </c>
      <c r="K29" s="30" t="s">
        <v>64</v>
      </c>
      <c r="L29" s="3"/>
    </row>
    <row r="30" spans="1:12" ht="15.75">
      <c r="A30" s="98" t="s">
        <v>60</v>
      </c>
      <c r="B30" s="99"/>
      <c r="C30" s="101"/>
      <c r="D30" s="102"/>
      <c r="E30" s="1"/>
      <c r="F30" s="103" t="s">
        <v>65</v>
      </c>
      <c r="G30" s="104">
        <f>+C12</f>
        <v>130201.28448275862</v>
      </c>
      <c r="H30" s="105">
        <v>100789.95</v>
      </c>
      <c r="I30" s="106" t="s">
        <v>66</v>
      </c>
      <c r="J30" s="107">
        <f t="shared" ref="J30:J37" si="2">((G30-H30)/H30)</f>
        <v>0.29180820590503942</v>
      </c>
      <c r="K30" s="108">
        <f t="shared" ref="K30:K37" si="3">+G30-H30</f>
        <v>29411.334482758626</v>
      </c>
      <c r="L30" s="3"/>
    </row>
    <row r="31" spans="1:12" ht="15.75">
      <c r="A31" s="98" t="s">
        <v>60</v>
      </c>
      <c r="B31" s="99"/>
      <c r="C31" s="101"/>
      <c r="D31" s="102"/>
      <c r="E31" s="1"/>
      <c r="F31" s="103" t="s">
        <v>67</v>
      </c>
      <c r="G31" s="109">
        <f>+C19</f>
        <v>2326</v>
      </c>
      <c r="H31" s="110">
        <f>+(C21*5%)+C21</f>
        <v>0</v>
      </c>
      <c r="I31" s="111" t="s">
        <v>68</v>
      </c>
      <c r="J31" s="107" t="e">
        <f t="shared" si="2"/>
        <v>#DIV/0!</v>
      </c>
      <c r="K31" s="112">
        <f t="shared" si="3"/>
        <v>2326</v>
      </c>
      <c r="L31" s="3"/>
    </row>
    <row r="32" spans="1:12" ht="15.75">
      <c r="A32" s="98" t="s">
        <v>60</v>
      </c>
      <c r="B32" s="99"/>
      <c r="C32" s="101"/>
      <c r="D32" s="102"/>
      <c r="E32" s="1"/>
      <c r="F32" s="103" t="s">
        <v>46</v>
      </c>
      <c r="G32" s="104">
        <f>+C22</f>
        <v>55.976476561805086</v>
      </c>
      <c r="H32" s="104">
        <v>60</v>
      </c>
      <c r="I32" s="113" t="s">
        <v>66</v>
      </c>
      <c r="J32" s="107">
        <f t="shared" si="2"/>
        <v>-6.7058723969915232E-2</v>
      </c>
      <c r="K32" s="108">
        <f t="shared" si="3"/>
        <v>-4.0235234381949141</v>
      </c>
      <c r="L32" s="3"/>
    </row>
    <row r="33" spans="1:12" ht="15.75">
      <c r="A33" s="71" t="s">
        <v>69</v>
      </c>
      <c r="B33" s="99"/>
      <c r="C33" s="101"/>
      <c r="D33" s="102"/>
      <c r="E33" s="1"/>
      <c r="F33" s="103" t="s">
        <v>70</v>
      </c>
      <c r="G33" s="104">
        <f>+H16</f>
        <v>8687.11</v>
      </c>
      <c r="H33" s="104">
        <f>+G30*10%</f>
        <v>13020.128448275864</v>
      </c>
      <c r="I33" s="114" t="s">
        <v>71</v>
      </c>
      <c r="J33" s="107">
        <f t="shared" si="2"/>
        <v>-0.33279383267909657</v>
      </c>
      <c r="K33" s="108">
        <f t="shared" si="3"/>
        <v>-4333.0184482758632</v>
      </c>
      <c r="L33" s="3"/>
    </row>
    <row r="34" spans="1:12" ht="15.75">
      <c r="A34" s="71" t="s">
        <v>72</v>
      </c>
      <c r="B34" s="99"/>
      <c r="C34" s="101"/>
      <c r="D34" s="102"/>
      <c r="E34" s="1"/>
      <c r="F34" s="103" t="s">
        <v>73</v>
      </c>
      <c r="G34" s="104">
        <f>+H24</f>
        <v>1766.97</v>
      </c>
      <c r="H34" s="104">
        <f>+G30*2%</f>
        <v>2604.0256896551723</v>
      </c>
      <c r="I34" s="114" t="s">
        <v>74</v>
      </c>
      <c r="J34" s="107">
        <f t="shared" si="2"/>
        <v>-0.32144678640479007</v>
      </c>
      <c r="K34" s="108">
        <f t="shared" si="3"/>
        <v>-837.05568965517227</v>
      </c>
      <c r="L34" s="3"/>
    </row>
    <row r="35" spans="1:12" ht="15.75">
      <c r="A35" s="71" t="s">
        <v>72</v>
      </c>
      <c r="B35" s="115"/>
      <c r="C35" s="101"/>
      <c r="D35" s="102"/>
      <c r="E35" s="1"/>
      <c r="F35" s="103" t="s">
        <v>75</v>
      </c>
      <c r="G35" s="104">
        <f>+C52</f>
        <v>304.55</v>
      </c>
      <c r="H35" s="104">
        <f>+G30*0.2%</f>
        <v>260.40256896551728</v>
      </c>
      <c r="I35" s="116" t="s">
        <v>76</v>
      </c>
      <c r="J35" s="107">
        <f t="shared" si="2"/>
        <v>0.16953531299581293</v>
      </c>
      <c r="K35" s="108">
        <f t="shared" si="3"/>
        <v>44.147431034482736</v>
      </c>
      <c r="L35" s="3"/>
    </row>
    <row r="36" spans="1:12" ht="15.75">
      <c r="A36" s="71" t="s">
        <v>72</v>
      </c>
      <c r="B36" s="115"/>
      <c r="C36" s="101"/>
      <c r="D36" s="102"/>
      <c r="E36" s="1"/>
      <c r="F36" s="103" t="s">
        <v>77</v>
      </c>
      <c r="G36" s="104">
        <f>+C53</f>
        <v>0</v>
      </c>
      <c r="H36" s="104">
        <f>+G30*0.5%</f>
        <v>651.00642241379308</v>
      </c>
      <c r="I36" s="116" t="s">
        <v>78</v>
      </c>
      <c r="J36" s="107">
        <f t="shared" si="2"/>
        <v>-1</v>
      </c>
      <c r="K36" s="108">
        <f t="shared" si="3"/>
        <v>-651.00642241379308</v>
      </c>
      <c r="L36" s="3"/>
    </row>
    <row r="37" spans="1:12" ht="16.5" thickBot="1">
      <c r="A37" s="71" t="s">
        <v>72</v>
      </c>
      <c r="B37" s="99"/>
      <c r="C37" s="101"/>
      <c r="D37" s="102"/>
      <c r="E37" s="1"/>
      <c r="F37" s="103" t="s">
        <v>79</v>
      </c>
      <c r="G37" s="104">
        <f>+C45</f>
        <v>55103.75</v>
      </c>
      <c r="H37" s="104">
        <f>+C12*34%</f>
        <v>44268.436724137937</v>
      </c>
      <c r="I37" s="117" t="s">
        <v>80</v>
      </c>
      <c r="J37" s="107">
        <f t="shared" si="2"/>
        <v>0.24476385609419926</v>
      </c>
      <c r="K37" s="108">
        <f t="shared" si="3"/>
        <v>10835.313275862063</v>
      </c>
      <c r="L37" s="3"/>
    </row>
    <row r="38" spans="1:12" ht="15.75" thickBot="1">
      <c r="A38" s="71" t="s">
        <v>72</v>
      </c>
      <c r="B38" s="99"/>
      <c r="C38" s="101"/>
      <c r="D38" s="102"/>
      <c r="E38" s="1"/>
      <c r="F38" s="118"/>
      <c r="G38" s="119"/>
      <c r="H38" s="119"/>
      <c r="I38" s="119"/>
      <c r="J38" s="119"/>
      <c r="K38" s="120"/>
      <c r="L38" s="3"/>
    </row>
    <row r="39" spans="1:12" ht="15.75" thickBot="1">
      <c r="A39" s="121" t="s">
        <v>81</v>
      </c>
      <c r="B39" s="122"/>
      <c r="C39" s="101"/>
      <c r="D39" s="123"/>
      <c r="E39" s="1"/>
      <c r="F39" s="124" t="s">
        <v>82</v>
      </c>
      <c r="G39" s="125"/>
      <c r="H39" s="125"/>
      <c r="I39" s="125"/>
      <c r="J39" s="125"/>
      <c r="K39" s="126"/>
      <c r="L39" s="3"/>
    </row>
    <row r="40" spans="1:12">
      <c r="A40" s="121" t="s">
        <v>81</v>
      </c>
      <c r="B40" s="122"/>
      <c r="C40" s="101"/>
      <c r="D40" s="123"/>
      <c r="E40" s="1"/>
      <c r="F40" s="127" t="s">
        <v>83</v>
      </c>
      <c r="G40" s="127" t="s">
        <v>84</v>
      </c>
      <c r="H40" s="127" t="s">
        <v>85</v>
      </c>
      <c r="I40" s="127" t="s">
        <v>86</v>
      </c>
      <c r="J40" s="128" t="s">
        <v>87</v>
      </c>
      <c r="K40" s="127" t="s">
        <v>88</v>
      </c>
      <c r="L40" s="3"/>
    </row>
    <row r="41" spans="1:12">
      <c r="A41" s="121" t="s">
        <v>81</v>
      </c>
      <c r="B41" s="122"/>
      <c r="C41" s="101"/>
      <c r="D41" s="123"/>
      <c r="E41" s="1"/>
      <c r="F41" s="129" t="s">
        <v>89</v>
      </c>
      <c r="G41" s="130"/>
      <c r="H41" s="131"/>
      <c r="I41" s="131"/>
      <c r="J41" s="131"/>
      <c r="K41" s="130"/>
      <c r="L41" s="3"/>
    </row>
    <row r="42" spans="1:12">
      <c r="A42" s="121" t="s">
        <v>81</v>
      </c>
      <c r="B42" s="122"/>
      <c r="C42" s="101"/>
      <c r="D42" s="132"/>
      <c r="E42" s="1"/>
      <c r="F42" s="129" t="s">
        <v>90</v>
      </c>
      <c r="G42" s="131"/>
      <c r="H42" s="131"/>
      <c r="I42" s="131"/>
      <c r="J42" s="131"/>
      <c r="K42" s="131"/>
      <c r="L42" s="3"/>
    </row>
    <row r="43" spans="1:12" ht="15.75" thickBot="1">
      <c r="A43" s="60" t="s">
        <v>91</v>
      </c>
      <c r="B43" s="133"/>
      <c r="C43" s="134">
        <f>SUM(C28:C42)</f>
        <v>55103.75</v>
      </c>
      <c r="D43" s="63"/>
      <c r="E43" s="1"/>
      <c r="F43" s="129" t="s">
        <v>92</v>
      </c>
      <c r="G43" s="130"/>
      <c r="H43" s="131"/>
      <c r="I43" s="131"/>
      <c r="J43" s="131"/>
      <c r="K43" s="130"/>
      <c r="L43" s="3"/>
    </row>
    <row r="44" spans="1:12" ht="15.75" thickBot="1">
      <c r="A44" s="88" t="s">
        <v>93</v>
      </c>
      <c r="B44" s="89"/>
      <c r="C44" s="90"/>
      <c r="D44" s="56"/>
      <c r="E44" s="1"/>
      <c r="F44" s="129" t="s">
        <v>94</v>
      </c>
      <c r="G44" s="135">
        <f>G41+G42-G43</f>
        <v>0</v>
      </c>
      <c r="H44" s="135">
        <f>H41+H42-H43</f>
        <v>0</v>
      </c>
      <c r="I44" s="135">
        <f>I41+I42-I43</f>
        <v>0</v>
      </c>
      <c r="J44" s="135">
        <f>J41+J42-J43</f>
        <v>0</v>
      </c>
      <c r="K44" s="135">
        <f>K41+K42-K43</f>
        <v>0</v>
      </c>
      <c r="L44" s="3"/>
    </row>
    <row r="45" spans="1:12" ht="15.75" thickBot="1">
      <c r="A45" s="136" t="s">
        <v>95</v>
      </c>
      <c r="B45" s="137"/>
      <c r="C45" s="138">
        <f>+(C27+C43)-C44</f>
        <v>55103.75</v>
      </c>
      <c r="D45" s="139">
        <f>+C45/C$12</f>
        <v>0.42321971107202777</v>
      </c>
      <c r="E45" s="1"/>
      <c r="F45" s="129" t="s">
        <v>96</v>
      </c>
      <c r="G45" s="140"/>
      <c r="H45" s="140"/>
      <c r="I45" s="140"/>
      <c r="J45" s="140"/>
      <c r="K45" s="140"/>
      <c r="L45" s="3"/>
    </row>
    <row r="46" spans="1:12" ht="15.75" thickBot="1">
      <c r="A46" s="136"/>
      <c r="B46" s="137"/>
      <c r="C46" s="141"/>
      <c r="D46" s="142"/>
      <c r="E46" s="1"/>
      <c r="F46" s="143" t="s">
        <v>97</v>
      </c>
      <c r="G46" s="144">
        <f>G45+G48-G44-G49</f>
        <v>0</v>
      </c>
      <c r="H46" s="144">
        <f>H45+H48-H44-H49</f>
        <v>0</v>
      </c>
      <c r="I46" s="144">
        <f>I45+I48-I44-I49</f>
        <v>0</v>
      </c>
      <c r="J46" s="144">
        <f>J45+J48-J44-J49</f>
        <v>0</v>
      </c>
      <c r="K46" s="144">
        <f>K45+K48-K44-K49</f>
        <v>0</v>
      </c>
      <c r="L46" s="3"/>
    </row>
    <row r="47" spans="1:12">
      <c r="A47" s="32" t="s">
        <v>98</v>
      </c>
      <c r="B47" s="33"/>
      <c r="C47" s="145">
        <f>+C75+C76+C77+C78+C79+C80+C81</f>
        <v>45249.53</v>
      </c>
      <c r="D47" s="146">
        <f>+C47/C$12</f>
        <v>0.34753520427820345</v>
      </c>
      <c r="E47" s="1"/>
      <c r="F47" s="129" t="s">
        <v>99</v>
      </c>
      <c r="G47" s="147">
        <f>+G46*I10</f>
        <v>0</v>
      </c>
      <c r="H47" s="147">
        <f>+H46*$I$8</f>
        <v>0</v>
      </c>
      <c r="I47" s="147">
        <f>+I46*$I$8</f>
        <v>0</v>
      </c>
      <c r="J47" s="147">
        <f>+J46*$I$8</f>
        <v>0</v>
      </c>
      <c r="K47" s="147">
        <f>+K46*I16</f>
        <v>0</v>
      </c>
      <c r="L47" s="3"/>
    </row>
    <row r="48" spans="1:12">
      <c r="A48" s="47" t="s">
        <v>100</v>
      </c>
      <c r="B48" s="48"/>
      <c r="C48" s="148">
        <f>C45-C47</f>
        <v>9854.2200000000012</v>
      </c>
      <c r="D48" s="59">
        <f>D45-D47</f>
        <v>7.5684506793824324E-2</v>
      </c>
      <c r="E48" s="1"/>
      <c r="F48" s="149" t="s">
        <v>75</v>
      </c>
      <c r="G48" s="150"/>
      <c r="H48" s="150"/>
      <c r="I48" s="150"/>
      <c r="J48" s="150"/>
      <c r="K48" s="150"/>
      <c r="L48" s="3"/>
    </row>
    <row r="49" spans="1:12">
      <c r="A49" s="151"/>
      <c r="B49" s="151"/>
      <c r="C49" s="152"/>
      <c r="D49" s="153"/>
      <c r="E49" s="1"/>
      <c r="F49" s="149" t="s">
        <v>101</v>
      </c>
      <c r="G49" s="154"/>
      <c r="H49" s="154"/>
      <c r="I49" s="154"/>
      <c r="J49" s="154"/>
      <c r="K49" s="154"/>
      <c r="L49" s="3"/>
    </row>
    <row r="50" spans="1:12">
      <c r="A50" s="19" t="s">
        <v>102</v>
      </c>
      <c r="B50" s="155"/>
      <c r="C50" s="155"/>
      <c r="D50" s="20"/>
      <c r="E50" s="1"/>
      <c r="F50" s="19" t="s">
        <v>82</v>
      </c>
      <c r="G50" s="155"/>
      <c r="H50" s="155"/>
      <c r="I50" s="155"/>
      <c r="J50" s="155"/>
      <c r="K50" s="155"/>
      <c r="L50" s="3"/>
    </row>
    <row r="51" spans="1:12">
      <c r="A51" s="32" t="s">
        <v>103</v>
      </c>
      <c r="B51" s="69"/>
      <c r="C51" s="156">
        <f>(C45-C52-C53)</f>
        <v>54799.199999999997</v>
      </c>
      <c r="D51" s="56">
        <f>+C51/C$12</f>
        <v>0.42088064044603613</v>
      </c>
      <c r="E51" s="1"/>
      <c r="F51" s="149" t="s">
        <v>83</v>
      </c>
      <c r="G51" s="149" t="s">
        <v>104</v>
      </c>
      <c r="H51" s="149" t="s">
        <v>105</v>
      </c>
      <c r="I51" s="149" t="s">
        <v>106</v>
      </c>
      <c r="J51" s="149" t="s">
        <v>107</v>
      </c>
      <c r="K51" s="149" t="s">
        <v>108</v>
      </c>
      <c r="L51" s="3"/>
    </row>
    <row r="52" spans="1:12">
      <c r="A52" s="32" t="s">
        <v>109</v>
      </c>
      <c r="B52" s="69"/>
      <c r="C52" s="157">
        <v>304.55</v>
      </c>
      <c r="D52" s="56">
        <f>+C52/C$12</f>
        <v>2.3390706259916261E-3</v>
      </c>
      <c r="E52" s="1"/>
      <c r="F52" s="129" t="s">
        <v>89</v>
      </c>
      <c r="G52" s="131"/>
      <c r="H52" s="131"/>
      <c r="I52" s="131"/>
      <c r="J52" s="131"/>
      <c r="K52" s="130"/>
      <c r="L52" s="3"/>
    </row>
    <row r="53" spans="1:12">
      <c r="A53" s="32" t="s">
        <v>77</v>
      </c>
      <c r="B53" s="69"/>
      <c r="C53" s="157"/>
      <c r="D53" s="56">
        <f>+C53/C$12</f>
        <v>0</v>
      </c>
      <c r="E53" s="1"/>
      <c r="F53" s="129" t="s">
        <v>90</v>
      </c>
      <c r="G53" s="131"/>
      <c r="H53" s="131"/>
      <c r="I53" s="131"/>
      <c r="J53" s="131"/>
      <c r="K53" s="131"/>
      <c r="L53" s="3"/>
    </row>
    <row r="54" spans="1:12" ht="15.75" thickBot="1">
      <c r="A54" s="158" t="s">
        <v>54</v>
      </c>
      <c r="B54" s="159"/>
      <c r="C54" s="160">
        <f>+C51+C52+C53</f>
        <v>55103.75</v>
      </c>
      <c r="D54" s="161">
        <f>+C54/C$12</f>
        <v>0.42321971107202777</v>
      </c>
      <c r="E54" s="1"/>
      <c r="F54" s="129" t="s">
        <v>92</v>
      </c>
      <c r="G54" s="131"/>
      <c r="H54" s="131"/>
      <c r="I54" s="131"/>
      <c r="J54" s="131"/>
      <c r="K54" s="130"/>
      <c r="L54" s="3"/>
    </row>
    <row r="55" spans="1:12" ht="16.5" thickBot="1">
      <c r="A55" s="32" t="s">
        <v>110</v>
      </c>
      <c r="B55" s="69"/>
      <c r="C55" s="162"/>
      <c r="D55" s="56">
        <f>+C55/C12</f>
        <v>0</v>
      </c>
      <c r="E55" s="1"/>
      <c r="F55" s="129" t="s">
        <v>94</v>
      </c>
      <c r="G55" s="135">
        <f>G52+G53-G54</f>
        <v>0</v>
      </c>
      <c r="H55" s="135">
        <f>H52+H53-H54</f>
        <v>0</v>
      </c>
      <c r="I55" s="135">
        <f>I52+I53-I54</f>
        <v>0</v>
      </c>
      <c r="J55" s="135">
        <f>J52+J53-J54</f>
        <v>0</v>
      </c>
      <c r="K55" s="135">
        <f>K52+K53-K54</f>
        <v>0</v>
      </c>
      <c r="L55" s="3"/>
    </row>
    <row r="56" spans="1:12" ht="15.75" thickBot="1">
      <c r="A56" s="163" t="s">
        <v>111</v>
      </c>
      <c r="B56" s="164"/>
      <c r="C56" s="165">
        <f>+C12-((C12*6.85%)+C54+C55)</f>
        <v>66178.746495689658</v>
      </c>
      <c r="D56" s="50">
        <f>+C56/C12</f>
        <v>0.50828028892797217</v>
      </c>
      <c r="E56" s="1"/>
      <c r="F56" s="129" t="s">
        <v>96</v>
      </c>
      <c r="G56" s="140"/>
      <c r="H56" s="140"/>
      <c r="I56" s="140"/>
      <c r="J56" s="140"/>
      <c r="K56" s="140"/>
      <c r="L56" s="3"/>
    </row>
    <row r="57" spans="1:12" ht="15.75" thickBot="1">
      <c r="A57" s="19" t="s">
        <v>112</v>
      </c>
      <c r="B57" s="155"/>
      <c r="C57" s="155"/>
      <c r="D57" s="166"/>
      <c r="E57" s="1"/>
      <c r="F57" s="143" t="s">
        <v>97</v>
      </c>
      <c r="G57" s="144">
        <f>G56+G59-G55-G60</f>
        <v>0</v>
      </c>
      <c r="H57" s="144">
        <f>H56+H59-H55-H60</f>
        <v>0</v>
      </c>
      <c r="I57" s="144">
        <f>I56+I59-I55-I60</f>
        <v>0</v>
      </c>
      <c r="J57" s="144">
        <f>J56+J59-J55-J60</f>
        <v>0</v>
      </c>
      <c r="K57" s="144">
        <f>K56+K59-K55-K60</f>
        <v>0</v>
      </c>
      <c r="L57" s="3"/>
    </row>
    <row r="58" spans="1:12">
      <c r="A58" s="167" t="s">
        <v>113</v>
      </c>
      <c r="B58" s="168"/>
      <c r="C58" s="169">
        <v>36899.040000000001</v>
      </c>
      <c r="D58" s="170">
        <f>+C58/$C$12</f>
        <v>0.28339996910618964</v>
      </c>
      <c r="E58" s="1"/>
      <c r="F58" s="129" t="s">
        <v>99</v>
      </c>
      <c r="G58" s="147">
        <f>+G57*I18</f>
        <v>0</v>
      </c>
      <c r="H58" s="147">
        <f>+H57*I13</f>
        <v>0</v>
      </c>
      <c r="I58" s="147">
        <f>+I57*I15</f>
        <v>0</v>
      </c>
      <c r="J58" s="147">
        <f>+J57*I11</f>
        <v>0</v>
      </c>
      <c r="K58" s="147">
        <f>+K57*I12</f>
        <v>0</v>
      </c>
      <c r="L58" s="3"/>
    </row>
    <row r="59" spans="1:12">
      <c r="A59" s="171" t="s">
        <v>114</v>
      </c>
      <c r="B59" s="172"/>
      <c r="C59" s="173">
        <v>9202.56</v>
      </c>
      <c r="D59" s="174">
        <f t="shared" ref="D59:D64" si="4">+C59/$C$12</f>
        <v>7.0679487046217362E-2</v>
      </c>
      <c r="E59" s="1"/>
      <c r="F59" s="149" t="s">
        <v>75</v>
      </c>
      <c r="G59" s="150"/>
      <c r="H59" s="150"/>
      <c r="I59" s="150"/>
      <c r="J59" s="150"/>
      <c r="K59" s="150"/>
      <c r="L59" s="3"/>
    </row>
    <row r="60" spans="1:12">
      <c r="A60" s="171" t="s">
        <v>115</v>
      </c>
      <c r="B60" s="172"/>
      <c r="C60" s="173">
        <v>14641.14</v>
      </c>
      <c r="D60" s="174">
        <f t="shared" si="4"/>
        <v>0.11245004270244963</v>
      </c>
      <c r="E60" s="1"/>
      <c r="F60" s="149" t="s">
        <v>101</v>
      </c>
      <c r="G60" s="154"/>
      <c r="H60" s="154"/>
      <c r="I60" s="154"/>
      <c r="J60" s="154"/>
      <c r="K60" s="154"/>
      <c r="L60" s="3"/>
    </row>
    <row r="61" spans="1:12">
      <c r="A61" s="171" t="s">
        <v>116</v>
      </c>
      <c r="B61" s="172"/>
      <c r="C61" s="173">
        <v>12324.44</v>
      </c>
      <c r="D61" s="174">
        <f t="shared" si="4"/>
        <v>9.4656823463458342E-2</v>
      </c>
      <c r="E61" s="1"/>
      <c r="F61" s="175" t="s">
        <v>117</v>
      </c>
      <c r="G61" s="176"/>
      <c r="H61" s="176"/>
      <c r="I61" s="176"/>
      <c r="J61" s="176"/>
      <c r="K61" s="176"/>
      <c r="L61" s="3"/>
    </row>
    <row r="62" spans="1:12">
      <c r="A62" s="171" t="s">
        <v>118</v>
      </c>
      <c r="B62" s="172"/>
      <c r="C62" s="173">
        <v>15067.19</v>
      </c>
      <c r="D62" s="174">
        <f t="shared" si="4"/>
        <v>0.11572228384578812</v>
      </c>
      <c r="E62" s="1"/>
      <c r="F62" s="177" t="s">
        <v>119</v>
      </c>
      <c r="G62" s="178"/>
      <c r="H62" s="178"/>
      <c r="I62" s="178"/>
      <c r="J62" s="178"/>
      <c r="K62" s="178"/>
      <c r="L62" s="3"/>
    </row>
    <row r="63" spans="1:12">
      <c r="A63" s="171" t="s">
        <v>120</v>
      </c>
      <c r="B63" s="172"/>
      <c r="C63" s="173">
        <v>28269.81</v>
      </c>
      <c r="D63" s="174">
        <f t="shared" si="4"/>
        <v>0.2171238948394823</v>
      </c>
      <c r="E63" s="1"/>
      <c r="F63" s="179" t="s">
        <v>121</v>
      </c>
      <c r="G63" s="180"/>
      <c r="H63" s="181">
        <f t="shared" ref="H63:H80" si="5">+G63/$C$19</f>
        <v>0</v>
      </c>
      <c r="I63" s="182"/>
      <c r="J63" s="180"/>
      <c r="K63" s="181">
        <f t="shared" ref="K63:K80" si="6">+J63/$C$19</f>
        <v>0</v>
      </c>
      <c r="L63" s="3"/>
    </row>
    <row r="64" spans="1:12">
      <c r="A64" s="183" t="s">
        <v>122</v>
      </c>
      <c r="B64" s="184"/>
      <c r="C64" s="185">
        <v>13796.46</v>
      </c>
      <c r="D64" s="186">
        <f t="shared" si="4"/>
        <v>0.10596254910086497</v>
      </c>
      <c r="E64" s="1"/>
      <c r="F64" s="179" t="s">
        <v>123</v>
      </c>
      <c r="G64" s="187"/>
      <c r="H64" s="181">
        <f t="shared" si="5"/>
        <v>0</v>
      </c>
      <c r="I64" s="179"/>
      <c r="J64" s="180"/>
      <c r="K64" s="181">
        <f t="shared" si="6"/>
        <v>0</v>
      </c>
      <c r="L64" s="3"/>
    </row>
    <row r="65" spans="1:12">
      <c r="A65" s="1"/>
      <c r="B65" s="188">
        <f>+C12</f>
        <v>130201.28448275862</v>
      </c>
      <c r="C65" s="189"/>
      <c r="D65" s="190">
        <f>SUM(D58:D64)</f>
        <v>0.99999505010445044</v>
      </c>
      <c r="E65" s="1"/>
      <c r="F65" s="179" t="s">
        <v>124</v>
      </c>
      <c r="G65" s="187"/>
      <c r="H65" s="181">
        <f t="shared" si="5"/>
        <v>0</v>
      </c>
      <c r="I65" s="179"/>
      <c r="J65" s="180"/>
      <c r="K65" s="181">
        <f t="shared" si="6"/>
        <v>0</v>
      </c>
      <c r="L65" s="3"/>
    </row>
    <row r="66" spans="1:12">
      <c r="A66" s="19" t="s">
        <v>125</v>
      </c>
      <c r="B66" s="155"/>
      <c r="C66" s="155"/>
      <c r="D66" s="166"/>
      <c r="E66" s="1"/>
      <c r="F66" s="179" t="s">
        <v>126</v>
      </c>
      <c r="G66" s="187"/>
      <c r="H66" s="181">
        <f t="shared" si="5"/>
        <v>0</v>
      </c>
      <c r="I66" s="179"/>
      <c r="J66" s="180"/>
      <c r="K66" s="181">
        <f t="shared" si="6"/>
        <v>0</v>
      </c>
      <c r="L66" s="3"/>
    </row>
    <row r="67" spans="1:12">
      <c r="A67" s="167" t="s">
        <v>113</v>
      </c>
      <c r="B67" s="168"/>
      <c r="C67" s="191">
        <v>567</v>
      </c>
      <c r="D67" s="170">
        <f>+C67/$C$19</f>
        <v>0.24376612209802237</v>
      </c>
      <c r="E67" s="1"/>
      <c r="F67" s="179" t="s">
        <v>127</v>
      </c>
      <c r="G67" s="187"/>
      <c r="H67" s="181">
        <f t="shared" si="5"/>
        <v>0</v>
      </c>
      <c r="I67" s="179"/>
      <c r="J67" s="180"/>
      <c r="K67" s="181">
        <f t="shared" si="6"/>
        <v>0</v>
      </c>
      <c r="L67" s="3"/>
    </row>
    <row r="68" spans="1:12">
      <c r="A68" s="171" t="s">
        <v>114</v>
      </c>
      <c r="B68" s="172"/>
      <c r="C68" s="192">
        <v>193</v>
      </c>
      <c r="D68" s="174">
        <f t="shared" ref="D68:D73" si="7">+C68/$C$19</f>
        <v>8.2975064488392092E-2</v>
      </c>
      <c r="E68" s="1"/>
      <c r="F68" s="179" t="s">
        <v>128</v>
      </c>
      <c r="G68" s="187"/>
      <c r="H68" s="181">
        <f t="shared" si="5"/>
        <v>0</v>
      </c>
      <c r="I68" s="179"/>
      <c r="J68" s="180"/>
      <c r="K68" s="181">
        <f t="shared" si="6"/>
        <v>0</v>
      </c>
      <c r="L68" s="3"/>
    </row>
    <row r="69" spans="1:12">
      <c r="A69" s="171" t="s">
        <v>115</v>
      </c>
      <c r="B69" s="172"/>
      <c r="C69" s="192">
        <v>313</v>
      </c>
      <c r="D69" s="174">
        <f t="shared" si="7"/>
        <v>0.1345657781599312</v>
      </c>
      <c r="E69" s="1"/>
      <c r="F69" s="179" t="s">
        <v>129</v>
      </c>
      <c r="G69" s="187"/>
      <c r="H69" s="181">
        <f t="shared" si="5"/>
        <v>0</v>
      </c>
      <c r="I69" s="179"/>
      <c r="J69" s="180"/>
      <c r="K69" s="181">
        <f t="shared" si="6"/>
        <v>0</v>
      </c>
      <c r="L69" s="3"/>
    </row>
    <row r="70" spans="1:12">
      <c r="A70" s="171" t="s">
        <v>116</v>
      </c>
      <c r="B70" s="172"/>
      <c r="C70" s="192">
        <v>246</v>
      </c>
      <c r="D70" s="174">
        <f t="shared" si="7"/>
        <v>0.10576096302665521</v>
      </c>
      <c r="E70" s="1"/>
      <c r="F70" s="179" t="s">
        <v>130</v>
      </c>
      <c r="G70" s="187"/>
      <c r="H70" s="181">
        <f t="shared" si="5"/>
        <v>0</v>
      </c>
      <c r="I70" s="193" t="s">
        <v>131</v>
      </c>
      <c r="J70" s="194"/>
      <c r="K70" s="195"/>
      <c r="L70" s="3"/>
    </row>
    <row r="71" spans="1:12">
      <c r="A71" s="171" t="s">
        <v>118</v>
      </c>
      <c r="B71" s="172"/>
      <c r="C71" s="192">
        <v>302</v>
      </c>
      <c r="D71" s="174">
        <f t="shared" si="7"/>
        <v>0.12983662940670679</v>
      </c>
      <c r="E71" s="1"/>
      <c r="F71" s="179" t="s">
        <v>132</v>
      </c>
      <c r="G71" s="180"/>
      <c r="H71" s="181">
        <f t="shared" si="5"/>
        <v>0</v>
      </c>
      <c r="I71" s="182" t="s">
        <v>133</v>
      </c>
      <c r="J71" s="187"/>
      <c r="K71" s="181">
        <f t="shared" si="6"/>
        <v>0</v>
      </c>
      <c r="L71" s="3"/>
    </row>
    <row r="72" spans="1:12">
      <c r="A72" s="171" t="s">
        <v>120</v>
      </c>
      <c r="B72" s="172"/>
      <c r="C72" s="192">
        <v>472</v>
      </c>
      <c r="D72" s="174">
        <f t="shared" si="7"/>
        <v>0.20292347377472056</v>
      </c>
      <c r="E72" s="1"/>
      <c r="F72" s="179" t="s">
        <v>134</v>
      </c>
      <c r="G72" s="180"/>
      <c r="H72" s="181">
        <f t="shared" si="5"/>
        <v>0</v>
      </c>
      <c r="I72" s="182"/>
      <c r="J72" s="187"/>
      <c r="K72" s="181">
        <f t="shared" si="6"/>
        <v>0</v>
      </c>
      <c r="L72" s="3"/>
    </row>
    <row r="73" spans="1:12">
      <c r="A73" s="183" t="s">
        <v>122</v>
      </c>
      <c r="B73" s="184"/>
      <c r="C73" s="196">
        <v>233</v>
      </c>
      <c r="D73" s="186">
        <f t="shared" si="7"/>
        <v>0.1001719690455718</v>
      </c>
      <c r="E73" s="1"/>
      <c r="F73" s="179" t="s">
        <v>135</v>
      </c>
      <c r="G73" s="180"/>
      <c r="H73" s="181">
        <f t="shared" si="5"/>
        <v>0</v>
      </c>
      <c r="I73" s="182"/>
      <c r="J73" s="187"/>
      <c r="K73" s="181">
        <f t="shared" si="6"/>
        <v>0</v>
      </c>
      <c r="L73" s="3"/>
    </row>
    <row r="74" spans="1:12">
      <c r="A74" s="19" t="s">
        <v>136</v>
      </c>
      <c r="B74" s="155"/>
      <c r="C74" s="155"/>
      <c r="D74" s="197"/>
      <c r="E74" s="1"/>
      <c r="F74" s="179" t="s">
        <v>137</v>
      </c>
      <c r="G74" s="180"/>
      <c r="H74" s="181">
        <f t="shared" si="5"/>
        <v>0</v>
      </c>
      <c r="I74" s="182"/>
      <c r="J74" s="187"/>
      <c r="K74" s="181">
        <f t="shared" si="6"/>
        <v>0</v>
      </c>
      <c r="L74" s="3"/>
    </row>
    <row r="75" spans="1:12">
      <c r="A75" s="167" t="s">
        <v>113</v>
      </c>
      <c r="B75" s="168"/>
      <c r="C75" s="169">
        <v>12277.2</v>
      </c>
      <c r="D75" s="170">
        <f>+C75/C58</f>
        <v>0.33272410339130776</v>
      </c>
      <c r="E75" s="1"/>
      <c r="F75" s="179" t="s">
        <v>138</v>
      </c>
      <c r="G75" s="180"/>
      <c r="H75" s="181">
        <f t="shared" si="5"/>
        <v>0</v>
      </c>
      <c r="I75" s="182"/>
      <c r="J75" s="187"/>
      <c r="K75" s="181">
        <f t="shared" si="6"/>
        <v>0</v>
      </c>
      <c r="L75" s="3"/>
    </row>
    <row r="76" spans="1:12">
      <c r="A76" s="171" t="s">
        <v>114</v>
      </c>
      <c r="B76" s="172"/>
      <c r="C76" s="173">
        <v>3067.21</v>
      </c>
      <c r="D76" s="174">
        <f t="shared" ref="D76:D81" si="8">+C76/C59</f>
        <v>0.33329964705473264</v>
      </c>
      <c r="E76" s="1"/>
      <c r="F76" s="179"/>
      <c r="G76" s="180"/>
      <c r="H76" s="181">
        <f t="shared" si="5"/>
        <v>0</v>
      </c>
      <c r="I76" s="179" t="s">
        <v>113</v>
      </c>
      <c r="J76" s="187"/>
      <c r="K76" s="181">
        <f t="shared" si="6"/>
        <v>0</v>
      </c>
      <c r="L76" s="3"/>
    </row>
    <row r="77" spans="1:12">
      <c r="A77" s="171" t="s">
        <v>115</v>
      </c>
      <c r="B77" s="172"/>
      <c r="C77" s="173">
        <v>6661.58</v>
      </c>
      <c r="D77" s="174">
        <f t="shared" si="8"/>
        <v>0.45499052669395962</v>
      </c>
      <c r="E77" s="1"/>
      <c r="F77" s="179"/>
      <c r="G77" s="180"/>
      <c r="H77" s="181">
        <f t="shared" si="5"/>
        <v>0</v>
      </c>
      <c r="I77" s="179" t="s">
        <v>114</v>
      </c>
      <c r="J77" s="187"/>
      <c r="K77" s="181">
        <f t="shared" si="6"/>
        <v>0</v>
      </c>
      <c r="L77" s="3"/>
    </row>
    <row r="78" spans="1:12">
      <c r="A78" s="171" t="s">
        <v>116</v>
      </c>
      <c r="B78" s="172"/>
      <c r="C78" s="173">
        <v>4180.72</v>
      </c>
      <c r="D78" s="174">
        <f t="shared" si="8"/>
        <v>0.33922190379441175</v>
      </c>
      <c r="E78" s="1"/>
      <c r="F78" s="179"/>
      <c r="G78" s="180"/>
      <c r="H78" s="181">
        <f t="shared" si="5"/>
        <v>0</v>
      </c>
      <c r="I78" s="179" t="s">
        <v>115</v>
      </c>
      <c r="J78" s="187"/>
      <c r="K78" s="181">
        <f t="shared" si="6"/>
        <v>0</v>
      </c>
      <c r="L78" s="3"/>
    </row>
    <row r="79" spans="1:12">
      <c r="A79" s="171" t="s">
        <v>118</v>
      </c>
      <c r="B79" s="172"/>
      <c r="C79" s="173">
        <v>5015.5600000000004</v>
      </c>
      <c r="D79" s="174">
        <f t="shared" si="8"/>
        <v>0.33287958803200862</v>
      </c>
      <c r="E79" s="198"/>
      <c r="F79" s="179"/>
      <c r="G79" s="180"/>
      <c r="H79" s="181">
        <f t="shared" si="5"/>
        <v>0</v>
      </c>
      <c r="I79" s="179" t="s">
        <v>139</v>
      </c>
      <c r="J79" s="187"/>
      <c r="K79" s="181">
        <f t="shared" si="6"/>
        <v>0</v>
      </c>
      <c r="L79" s="3"/>
    </row>
    <row r="80" spans="1:12">
      <c r="A80" s="171" t="s">
        <v>120</v>
      </c>
      <c r="B80" s="172"/>
      <c r="C80" s="173">
        <v>9497.16</v>
      </c>
      <c r="D80" s="174">
        <f t="shared" si="8"/>
        <v>0.33594707569665305</v>
      </c>
      <c r="E80" s="198"/>
      <c r="F80" s="179"/>
      <c r="G80" s="180"/>
      <c r="H80" s="181">
        <f t="shared" si="5"/>
        <v>0</v>
      </c>
      <c r="I80" s="179" t="s">
        <v>118</v>
      </c>
      <c r="J80" s="187"/>
      <c r="K80" s="181">
        <f t="shared" si="6"/>
        <v>0</v>
      </c>
      <c r="L80" s="3"/>
    </row>
    <row r="81" spans="1:12">
      <c r="A81" s="183" t="s">
        <v>122</v>
      </c>
      <c r="B81" s="184"/>
      <c r="C81" s="185">
        <v>4550.1000000000004</v>
      </c>
      <c r="D81" s="186">
        <f t="shared" si="8"/>
        <v>0.32980199268508015</v>
      </c>
      <c r="E81" s="198"/>
      <c r="F81" s="199" t="s">
        <v>140</v>
      </c>
      <c r="G81" s="200"/>
      <c r="H81" s="201"/>
      <c r="I81" s="202">
        <f>SUM(G63:G80,J63:J69)</f>
        <v>0</v>
      </c>
      <c r="J81" s="203">
        <f>+I81/C19</f>
        <v>0</v>
      </c>
      <c r="K81" s="204"/>
      <c r="L81" s="3"/>
    </row>
    <row r="82" spans="1:12">
      <c r="A82" s="205"/>
      <c r="B82" s="205"/>
      <c r="C82" s="206"/>
      <c r="D82" s="207"/>
      <c r="E82" s="208"/>
      <c r="F82" s="3"/>
      <c r="G82" s="3"/>
      <c r="H82" s="3"/>
      <c r="I82" s="3"/>
      <c r="J82" s="3"/>
      <c r="K82" s="3"/>
      <c r="L82" s="3"/>
    </row>
    <row r="83" spans="1:12">
      <c r="A83" s="205"/>
      <c r="B83" s="205"/>
      <c r="C83" s="206"/>
      <c r="D83" s="207"/>
      <c r="E83" s="208"/>
      <c r="F83" s="3"/>
      <c r="G83" s="3"/>
      <c r="H83" s="3"/>
      <c r="I83" s="3"/>
      <c r="J83" s="3"/>
      <c r="K83" s="3"/>
      <c r="L83" s="3"/>
    </row>
    <row r="84" spans="1:12">
      <c r="A84" s="205"/>
      <c r="B84" s="205"/>
      <c r="C84" s="206"/>
      <c r="D84" s="209"/>
      <c r="E84" s="208"/>
      <c r="F84" s="3"/>
      <c r="G84" s="3"/>
      <c r="H84" s="3"/>
      <c r="I84" s="3"/>
      <c r="J84" s="3"/>
      <c r="K84" s="3"/>
      <c r="L84" s="3"/>
    </row>
    <row r="85" spans="1:12">
      <c r="A85" s="210"/>
      <c r="B85" s="210"/>
      <c r="C85" s="211"/>
      <c r="D85" s="212"/>
      <c r="E85" s="208"/>
      <c r="F85" s="3"/>
      <c r="G85" s="3"/>
      <c r="H85" s="3"/>
      <c r="I85" s="3"/>
      <c r="J85" s="3"/>
      <c r="K85" s="3"/>
      <c r="L85" s="3"/>
    </row>
    <row r="86" spans="1:12">
      <c r="A86" s="213"/>
      <c r="B86" s="213"/>
      <c r="C86" s="213"/>
      <c r="D86" s="213"/>
      <c r="E86" s="208"/>
      <c r="F86" s="3"/>
      <c r="G86" s="3"/>
      <c r="H86" s="3"/>
      <c r="I86" s="3"/>
      <c r="J86" s="3"/>
      <c r="K86" s="3"/>
      <c r="L86" s="3"/>
    </row>
    <row r="87" spans="1:12">
      <c r="A87" s="214"/>
      <c r="B87" s="214"/>
      <c r="C87" s="215"/>
      <c r="D87" s="216"/>
      <c r="E87" s="208"/>
      <c r="F87" s="3"/>
      <c r="G87" s="3"/>
      <c r="H87" s="3"/>
      <c r="I87" s="3"/>
      <c r="J87" s="3"/>
      <c r="K87" s="3"/>
      <c r="L87" s="3"/>
    </row>
    <row r="88" spans="1:12">
      <c r="A88" s="214"/>
      <c r="B88" s="214"/>
      <c r="C88" s="217"/>
      <c r="D88" s="218"/>
      <c r="E88" s="3"/>
      <c r="F88" s="3"/>
      <c r="G88" s="3"/>
      <c r="H88" s="3"/>
      <c r="I88" s="3"/>
      <c r="J88" s="3"/>
      <c r="K88" s="3"/>
      <c r="L88" s="3"/>
    </row>
    <row r="89" spans="1:1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3"/>
      <c r="B90" s="3"/>
      <c r="C90" s="3"/>
      <c r="D90" s="3"/>
      <c r="E90" s="3"/>
      <c r="F90" s="3"/>
      <c r="G90" s="3"/>
      <c r="H90" s="3"/>
      <c r="I90" s="3"/>
      <c r="J90" s="3"/>
      <c r="K90" s="219"/>
      <c r="L90" s="3"/>
    </row>
    <row r="91" spans="1:1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3"/>
      <c r="B103" s="3"/>
      <c r="C103" s="3"/>
      <c r="D103" s="3"/>
      <c r="E103" s="3"/>
      <c r="F103" s="3"/>
      <c r="G103" s="3"/>
      <c r="H103" s="220"/>
      <c r="I103" s="3"/>
      <c r="J103" s="3"/>
      <c r="K103" s="3"/>
      <c r="L103" s="3"/>
    </row>
  </sheetData>
  <customSheetViews>
    <customSheetView guid="{2443864E-3EC0-42CB-9BCC-E86B96EC82D4}">
      <selection sqref="A1:L103"/>
      <pageMargins left="0.7" right="0.7" top="0.75" bottom="0.75" header="0.3" footer="0.3"/>
    </customSheetView>
  </customSheetViews>
  <mergeCells count="49">
    <mergeCell ref="F81:H81"/>
    <mergeCell ref="A57:D57"/>
    <mergeCell ref="F61:K61"/>
    <mergeCell ref="F62:K62"/>
    <mergeCell ref="A66:D66"/>
    <mergeCell ref="I70:K70"/>
    <mergeCell ref="A74:D74"/>
    <mergeCell ref="A51:B51"/>
    <mergeCell ref="A52:B52"/>
    <mergeCell ref="A53:B53"/>
    <mergeCell ref="A54:B54"/>
    <mergeCell ref="A55:B55"/>
    <mergeCell ref="A56:B56"/>
    <mergeCell ref="A46:B46"/>
    <mergeCell ref="A47:B47"/>
    <mergeCell ref="A48:B48"/>
    <mergeCell ref="A49:B49"/>
    <mergeCell ref="A50:D50"/>
    <mergeCell ref="F50:K50"/>
    <mergeCell ref="A27:B27"/>
    <mergeCell ref="F28:K28"/>
    <mergeCell ref="F39:K39"/>
    <mergeCell ref="A43:B43"/>
    <mergeCell ref="A44:B44"/>
    <mergeCell ref="A45:B45"/>
    <mergeCell ref="A19:B19"/>
    <mergeCell ref="A20:B20"/>
    <mergeCell ref="A21:B21"/>
    <mergeCell ref="A22:B22"/>
    <mergeCell ref="A23:B23"/>
    <mergeCell ref="A26:D2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B1:J1"/>
    <mergeCell ref="G2:H2"/>
    <mergeCell ref="G3:H3"/>
    <mergeCell ref="G4:H4"/>
    <mergeCell ref="A6:B6"/>
    <mergeCell ref="F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03"/>
  <sheetViews>
    <sheetView workbookViewId="0">
      <selection sqref="A1:L103"/>
    </sheetView>
  </sheetViews>
  <sheetFormatPr baseColWidth="10" defaultRowHeight="15"/>
  <sheetData>
    <row r="1" spans="1:12" ht="22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1"/>
      <c r="L1" s="3"/>
    </row>
    <row r="2" spans="1:12" ht="16.5">
      <c r="A2" s="4"/>
      <c r="B2" s="3"/>
      <c r="C2" s="5"/>
      <c r="D2" s="5"/>
      <c r="E2" s="5"/>
      <c r="F2" s="5" t="s">
        <v>2</v>
      </c>
      <c r="G2" s="6"/>
      <c r="H2" s="6"/>
      <c r="I2" s="5"/>
      <c r="J2" s="5"/>
      <c r="K2" s="4"/>
      <c r="L2" s="3"/>
    </row>
    <row r="3" spans="1:12">
      <c r="A3" s="7" t="s">
        <v>3</v>
      </c>
      <c r="B3" s="8"/>
      <c r="C3" s="9"/>
      <c r="D3" s="10"/>
      <c r="E3" s="10"/>
      <c r="F3" s="11" t="s">
        <v>4</v>
      </c>
      <c r="G3" s="12"/>
      <c r="H3" s="12"/>
      <c r="I3" s="13"/>
      <c r="J3" s="14"/>
      <c r="K3" s="14"/>
      <c r="L3" s="3"/>
    </row>
    <row r="4" spans="1:12">
      <c r="A4" s="7" t="s">
        <v>5</v>
      </c>
      <c r="B4" s="8"/>
      <c r="C4" s="9"/>
      <c r="D4" s="10"/>
      <c r="E4" s="10"/>
      <c r="F4" s="11" t="s">
        <v>6</v>
      </c>
      <c r="G4" s="15"/>
      <c r="H4" s="15"/>
      <c r="I4" s="13"/>
      <c r="J4" s="11" t="s">
        <v>7</v>
      </c>
      <c r="K4" s="16"/>
      <c r="L4" s="3"/>
    </row>
    <row r="5" spans="1:12" ht="15.75" thickBot="1">
      <c r="A5" s="17"/>
      <c r="B5" s="17"/>
      <c r="C5" s="17"/>
      <c r="D5" s="17"/>
      <c r="E5" s="17"/>
      <c r="F5" s="17"/>
      <c r="G5" s="17"/>
      <c r="H5" s="17"/>
      <c r="I5" s="18"/>
      <c r="J5" s="17"/>
      <c r="K5" s="17"/>
      <c r="L5" s="3"/>
    </row>
    <row r="6" spans="1:12">
      <c r="A6" s="19" t="s">
        <v>8</v>
      </c>
      <c r="B6" s="20"/>
      <c r="C6" s="21" t="s">
        <v>9</v>
      </c>
      <c r="D6" s="21" t="s">
        <v>10</v>
      </c>
      <c r="E6" s="1"/>
      <c r="F6" s="22" t="s">
        <v>11</v>
      </c>
      <c r="G6" s="23"/>
      <c r="H6" s="23"/>
      <c r="I6" s="23"/>
      <c r="J6" s="23"/>
      <c r="K6" s="24"/>
      <c r="L6" s="3"/>
    </row>
    <row r="7" spans="1:12">
      <c r="A7" s="25" t="s">
        <v>12</v>
      </c>
      <c r="B7" s="26"/>
      <c r="C7" s="27">
        <v>63855.25</v>
      </c>
      <c r="D7" s="28"/>
      <c r="E7" s="1"/>
      <c r="F7" s="29" t="s">
        <v>13</v>
      </c>
      <c r="G7" s="30" t="s">
        <v>14</v>
      </c>
      <c r="H7" s="30" t="s">
        <v>15</v>
      </c>
      <c r="I7" s="30" t="s">
        <v>16</v>
      </c>
      <c r="J7" s="30" t="s">
        <v>17</v>
      </c>
      <c r="K7" s="31"/>
      <c r="L7" s="3"/>
    </row>
    <row r="8" spans="1:12" ht="15.75">
      <c r="A8" s="32" t="s">
        <v>18</v>
      </c>
      <c r="B8" s="33"/>
      <c r="C8" s="34"/>
      <c r="D8" s="35">
        <f>+C8/C7</f>
        <v>0</v>
      </c>
      <c r="E8" s="1"/>
      <c r="F8" s="36" t="s">
        <v>19</v>
      </c>
      <c r="G8" s="37">
        <v>1159</v>
      </c>
      <c r="H8" s="38">
        <v>32251.439999999999</v>
      </c>
      <c r="I8" s="39">
        <f t="shared" ref="I8:I25" si="0">IF(G8&gt;0,(H8/G8),0)</f>
        <v>27.82695427092321</v>
      </c>
      <c r="J8" s="40">
        <f>+H8/$C$12</f>
        <v>0.58588245132545869</v>
      </c>
      <c r="K8" s="41"/>
      <c r="L8" s="42"/>
    </row>
    <row r="9" spans="1:12" ht="15.75">
      <c r="A9" s="32" t="s">
        <v>20</v>
      </c>
      <c r="B9" s="33"/>
      <c r="C9" s="43">
        <f>((C7/1.16)-C7)*-1</f>
        <v>8807.6206896551666</v>
      </c>
      <c r="D9" s="35"/>
      <c r="E9" s="1"/>
      <c r="F9" s="36" t="s">
        <v>21</v>
      </c>
      <c r="G9" s="37">
        <v>52</v>
      </c>
      <c r="H9" s="44">
        <v>2054.42</v>
      </c>
      <c r="I9" s="39">
        <f t="shared" si="0"/>
        <v>39.508076923076928</v>
      </c>
      <c r="J9" s="40">
        <f t="shared" ref="J9:J25" si="1">+H9/$C$12</f>
        <v>3.7320771588867006E-2</v>
      </c>
      <c r="K9" s="41"/>
      <c r="L9" s="42"/>
    </row>
    <row r="10" spans="1:12" ht="15.75">
      <c r="A10" s="32" t="s">
        <v>22</v>
      </c>
      <c r="B10" s="33"/>
      <c r="C10" s="45">
        <f>+C7-C11</f>
        <v>50592.05</v>
      </c>
      <c r="D10" s="46">
        <f>+C10/C7</f>
        <v>0.79229272456062738</v>
      </c>
      <c r="E10" s="1"/>
      <c r="F10" s="36" t="s">
        <v>23</v>
      </c>
      <c r="G10" s="37">
        <v>28</v>
      </c>
      <c r="H10" s="44">
        <v>1194.79</v>
      </c>
      <c r="I10" s="39">
        <f t="shared" si="0"/>
        <v>42.67107142857143</v>
      </c>
      <c r="J10" s="40">
        <f t="shared" si="1"/>
        <v>2.1704658583280152E-2</v>
      </c>
      <c r="K10" s="41"/>
      <c r="L10" s="42"/>
    </row>
    <row r="11" spans="1:12" ht="15.75">
      <c r="A11" s="47" t="s">
        <v>24</v>
      </c>
      <c r="B11" s="48"/>
      <c r="C11" s="49">
        <v>13263.2</v>
      </c>
      <c r="D11" s="50">
        <f>+C11/C7</f>
        <v>0.20770727543937265</v>
      </c>
      <c r="E11" s="1"/>
      <c r="F11" s="36" t="s">
        <v>25</v>
      </c>
      <c r="G11" s="37">
        <v>106</v>
      </c>
      <c r="H11" s="44">
        <v>2220.0100000000002</v>
      </c>
      <c r="I11" s="39">
        <f t="shared" si="0"/>
        <v>20.943490566037738</v>
      </c>
      <c r="J11" s="40">
        <f t="shared" si="1"/>
        <v>4.0328893865422183E-2</v>
      </c>
      <c r="K11" s="41"/>
      <c r="L11" s="42"/>
    </row>
    <row r="12" spans="1:12" ht="15.75">
      <c r="A12" s="51" t="s">
        <v>26</v>
      </c>
      <c r="B12" s="52"/>
      <c r="C12" s="53">
        <f>+C7-C9-C8</f>
        <v>55047.629310344833</v>
      </c>
      <c r="D12" s="54">
        <v>1</v>
      </c>
      <c r="E12" s="1"/>
      <c r="F12" s="36" t="s">
        <v>27</v>
      </c>
      <c r="G12" s="37">
        <v>97</v>
      </c>
      <c r="H12" s="44">
        <v>2286.8000000000002</v>
      </c>
      <c r="I12" s="39">
        <f t="shared" si="0"/>
        <v>23.575257731958764</v>
      </c>
      <c r="J12" s="40">
        <f t="shared" si="1"/>
        <v>4.1542206788008816E-2</v>
      </c>
      <c r="K12" s="41"/>
      <c r="L12" s="42"/>
    </row>
    <row r="13" spans="1:12" ht="15.75">
      <c r="A13" s="32" t="s">
        <v>28</v>
      </c>
      <c r="B13" s="33"/>
      <c r="C13" s="55">
        <f>+H19+H21</f>
        <v>1290.48</v>
      </c>
      <c r="D13" s="56">
        <f>+C13/C$12</f>
        <v>2.344297140798916E-2</v>
      </c>
      <c r="E13" s="1"/>
      <c r="F13" s="36" t="s">
        <v>29</v>
      </c>
      <c r="G13" s="37">
        <v>23</v>
      </c>
      <c r="H13" s="44">
        <v>974.97</v>
      </c>
      <c r="I13" s="39">
        <f t="shared" si="0"/>
        <v>42.39</v>
      </c>
      <c r="J13" s="40">
        <f t="shared" si="1"/>
        <v>1.7711389431565923E-2</v>
      </c>
      <c r="K13" s="41"/>
      <c r="L13" s="42"/>
    </row>
    <row r="14" spans="1:12" ht="15.75">
      <c r="A14" s="32" t="s">
        <v>30</v>
      </c>
      <c r="B14" s="33"/>
      <c r="C14" s="57">
        <f>+C12-C13-C15</f>
        <v>46569.189310344831</v>
      </c>
      <c r="D14" s="56">
        <f>+C14/C$12</f>
        <v>0.84597992490828866</v>
      </c>
      <c r="E14" s="1"/>
      <c r="F14" s="36" t="s">
        <v>31</v>
      </c>
      <c r="G14" s="37">
        <v>18</v>
      </c>
      <c r="H14" s="44">
        <v>487.95</v>
      </c>
      <c r="I14" s="39">
        <f t="shared" si="0"/>
        <v>27.108333333333334</v>
      </c>
      <c r="J14" s="40">
        <f t="shared" si="1"/>
        <v>8.8641419460420232E-3</v>
      </c>
      <c r="K14" s="41"/>
      <c r="L14" s="42"/>
    </row>
    <row r="15" spans="1:12" ht="15.75">
      <c r="A15" s="32" t="s">
        <v>32</v>
      </c>
      <c r="B15" s="33"/>
      <c r="C15" s="55">
        <f>+H16</f>
        <v>7187.96</v>
      </c>
      <c r="D15" s="56">
        <f>+C15/C$12</f>
        <v>0.13057710368372216</v>
      </c>
      <c r="E15" s="1"/>
      <c r="F15" s="36" t="s">
        <v>33</v>
      </c>
      <c r="G15" s="37">
        <v>0</v>
      </c>
      <c r="H15" s="44">
        <v>0</v>
      </c>
      <c r="I15" s="39">
        <f t="shared" si="0"/>
        <v>0</v>
      </c>
      <c r="J15" s="40">
        <f t="shared" si="1"/>
        <v>0</v>
      </c>
      <c r="K15" s="41"/>
      <c r="L15" s="42"/>
    </row>
    <row r="16" spans="1:12" ht="15.75">
      <c r="A16" s="47" t="s">
        <v>34</v>
      </c>
      <c r="B16" s="48"/>
      <c r="C16" s="58"/>
      <c r="D16" s="59">
        <f>+C16/C$12</f>
        <v>0</v>
      </c>
      <c r="E16" s="1"/>
      <c r="F16" s="36" t="s">
        <v>35</v>
      </c>
      <c r="G16" s="37">
        <v>31</v>
      </c>
      <c r="H16" s="44">
        <v>7187.96</v>
      </c>
      <c r="I16" s="39">
        <f t="shared" si="0"/>
        <v>231.86967741935484</v>
      </c>
      <c r="J16" s="40">
        <f t="shared" si="1"/>
        <v>0.13057710368372216</v>
      </c>
      <c r="K16" s="41"/>
      <c r="L16" s="42"/>
    </row>
    <row r="17" spans="1:12" ht="15.75">
      <c r="A17" s="60" t="s">
        <v>36</v>
      </c>
      <c r="B17" s="61"/>
      <c r="C17" s="62">
        <v>37121</v>
      </c>
      <c r="D17" s="63">
        <f>((C$12-C17)/C17)</f>
        <v>0.48292420221289389</v>
      </c>
      <c r="E17" s="1"/>
      <c r="F17" s="36" t="s">
        <v>37</v>
      </c>
      <c r="G17" s="37">
        <v>126</v>
      </c>
      <c r="H17" s="44">
        <v>2453.4</v>
      </c>
      <c r="I17" s="39">
        <f t="shared" si="0"/>
        <v>19.471428571428572</v>
      </c>
      <c r="J17" s="40">
        <f t="shared" si="1"/>
        <v>4.4568676812008406E-2</v>
      </c>
      <c r="K17" s="41"/>
      <c r="L17" s="42"/>
    </row>
    <row r="18" spans="1:12" ht="15.75">
      <c r="A18" s="47" t="s">
        <v>38</v>
      </c>
      <c r="B18" s="64"/>
      <c r="C18" s="65">
        <v>0</v>
      </c>
      <c r="D18" s="59" t="e">
        <f>((C$12-C18)/C18)</f>
        <v>#DIV/0!</v>
      </c>
      <c r="E18" s="1"/>
      <c r="F18" s="36" t="s">
        <v>39</v>
      </c>
      <c r="G18" s="37">
        <v>18</v>
      </c>
      <c r="H18" s="38">
        <v>594.85</v>
      </c>
      <c r="I18" s="39">
        <f t="shared" si="0"/>
        <v>33.047222222222224</v>
      </c>
      <c r="J18" s="40">
        <f t="shared" si="1"/>
        <v>1.0806096601297464E-2</v>
      </c>
      <c r="K18" s="41"/>
      <c r="L18" s="42"/>
    </row>
    <row r="19" spans="1:12" ht="15.75">
      <c r="A19" s="25" t="s">
        <v>40</v>
      </c>
      <c r="B19" s="26"/>
      <c r="C19" s="66">
        <v>877</v>
      </c>
      <c r="D19" s="28"/>
      <c r="E19" s="1"/>
      <c r="F19" s="36" t="s">
        <v>41</v>
      </c>
      <c r="G19" s="37">
        <v>14</v>
      </c>
      <c r="H19" s="44">
        <v>591.36</v>
      </c>
      <c r="I19" s="39">
        <f t="shared" si="0"/>
        <v>42.24</v>
      </c>
      <c r="J19" s="40">
        <f t="shared" si="1"/>
        <v>1.074269695913805E-2</v>
      </c>
      <c r="K19" s="41"/>
      <c r="L19" s="42"/>
    </row>
    <row r="20" spans="1:12" ht="15.75">
      <c r="A20" s="32" t="s">
        <v>42</v>
      </c>
      <c r="B20" s="33"/>
      <c r="C20" s="67">
        <v>514</v>
      </c>
      <c r="D20" s="68">
        <f>((C$19-C20)/C20)</f>
        <v>0.70622568093385218</v>
      </c>
      <c r="E20" s="1"/>
      <c r="F20" s="36" t="s">
        <v>43</v>
      </c>
      <c r="G20" s="37">
        <v>8</v>
      </c>
      <c r="H20" s="44">
        <v>663.78</v>
      </c>
      <c r="I20" s="39">
        <f t="shared" si="0"/>
        <v>82.972499999999997</v>
      </c>
      <c r="J20" s="40">
        <f t="shared" si="1"/>
        <v>1.2058284949162362E-2</v>
      </c>
      <c r="K20" s="41"/>
      <c r="L20" s="42"/>
    </row>
    <row r="21" spans="1:12" ht="15.75">
      <c r="A21" s="32" t="s">
        <v>44</v>
      </c>
      <c r="B21" s="33"/>
      <c r="C21" s="67">
        <v>0</v>
      </c>
      <c r="D21" s="68" t="e">
        <f>((C$19-C21)/C21)</f>
        <v>#DIV/0!</v>
      </c>
      <c r="E21" s="1"/>
      <c r="F21" s="36" t="s">
        <v>45</v>
      </c>
      <c r="G21" s="37">
        <v>20</v>
      </c>
      <c r="H21" s="44">
        <v>699.12</v>
      </c>
      <c r="I21" s="39">
        <f t="shared" si="0"/>
        <v>34.956000000000003</v>
      </c>
      <c r="J21" s="40">
        <f t="shared" si="1"/>
        <v>1.2700274448851112E-2</v>
      </c>
      <c r="K21" s="41"/>
      <c r="L21" s="42"/>
    </row>
    <row r="22" spans="1:12" ht="15.75">
      <c r="A22" s="51" t="s">
        <v>46</v>
      </c>
      <c r="B22" s="52"/>
      <c r="C22" s="53">
        <f>+C12/C19</f>
        <v>62.768106397200491</v>
      </c>
      <c r="D22" s="68"/>
      <c r="E22" s="1"/>
      <c r="F22" s="36" t="s">
        <v>47</v>
      </c>
      <c r="G22" s="37">
        <v>41</v>
      </c>
      <c r="H22" s="44">
        <v>969.8</v>
      </c>
      <c r="I22" s="39">
        <f t="shared" si="0"/>
        <v>23.653658536585365</v>
      </c>
      <c r="J22" s="40">
        <f t="shared" si="1"/>
        <v>1.761747076395441E-2</v>
      </c>
      <c r="K22" s="41"/>
      <c r="L22" s="42"/>
    </row>
    <row r="23" spans="1:12" ht="15.75">
      <c r="A23" s="32" t="s">
        <v>48</v>
      </c>
      <c r="B23" s="69"/>
      <c r="C23" s="70">
        <v>72</v>
      </c>
      <c r="D23" s="68">
        <f>((C$22-C23)/C23)</f>
        <v>-0.12822074448332652</v>
      </c>
      <c r="E23" s="1"/>
      <c r="F23" s="36" t="s">
        <v>49</v>
      </c>
      <c r="G23" s="37">
        <v>0</v>
      </c>
      <c r="H23" s="44">
        <v>0</v>
      </c>
      <c r="I23" s="39">
        <f t="shared" si="0"/>
        <v>0</v>
      </c>
      <c r="J23" s="40">
        <f t="shared" si="1"/>
        <v>0</v>
      </c>
      <c r="K23" s="41"/>
      <c r="L23" s="42"/>
    </row>
    <row r="24" spans="1:12" ht="15.75">
      <c r="A24" s="71"/>
      <c r="B24" s="72"/>
      <c r="C24" s="73">
        <f>C22-C23</f>
        <v>-9.2318936027995093</v>
      </c>
      <c r="D24" s="68"/>
      <c r="E24" s="1"/>
      <c r="F24" s="36" t="s">
        <v>50</v>
      </c>
      <c r="G24" s="37">
        <v>129</v>
      </c>
      <c r="H24" s="44">
        <v>838.27</v>
      </c>
      <c r="I24" s="39">
        <f t="shared" si="0"/>
        <v>6.4982170542635656</v>
      </c>
      <c r="J24" s="40">
        <f>+H24/$C$12</f>
        <v>1.5228085396267337E-2</v>
      </c>
      <c r="K24" s="41"/>
      <c r="L24" s="42"/>
    </row>
    <row r="25" spans="1:12" ht="15.75">
      <c r="A25" s="74" t="s">
        <v>51</v>
      </c>
      <c r="B25" s="75"/>
      <c r="C25" s="76">
        <f>+H32</f>
        <v>60</v>
      </c>
      <c r="D25" s="77">
        <f>((C$22-C25)/C25)</f>
        <v>4.6135106620008179E-2</v>
      </c>
      <c r="E25" s="1" t="s">
        <v>52</v>
      </c>
      <c r="F25" s="36" t="s">
        <v>53</v>
      </c>
      <c r="G25" s="78">
        <v>54</v>
      </c>
      <c r="H25" s="44">
        <v>0</v>
      </c>
      <c r="I25" s="39">
        <f t="shared" si="0"/>
        <v>0</v>
      </c>
      <c r="J25" s="40">
        <f t="shared" si="1"/>
        <v>0</v>
      </c>
      <c r="K25" s="41"/>
      <c r="L25" s="42"/>
    </row>
    <row r="26" spans="1:12" ht="16.5" thickBot="1">
      <c r="A26" s="79" t="s">
        <v>54</v>
      </c>
      <c r="B26" s="80"/>
      <c r="C26" s="80"/>
      <c r="D26" s="81"/>
      <c r="E26" s="1"/>
      <c r="F26" s="82" t="s">
        <v>55</v>
      </c>
      <c r="G26" s="83">
        <v>238</v>
      </c>
      <c r="H26" s="84">
        <v>5153.28</v>
      </c>
      <c r="I26" s="85">
        <f>IF(G26&gt;0,(H26/G26),0)</f>
        <v>21.652436974789914</v>
      </c>
      <c r="J26" s="86">
        <f>+H26/$C$12</f>
        <v>9.361493064391728E-2</v>
      </c>
      <c r="K26" s="87"/>
      <c r="L26" s="42"/>
    </row>
    <row r="27" spans="1:12" ht="15.75" thickBot="1">
      <c r="A27" s="88" t="s">
        <v>56</v>
      </c>
      <c r="B27" s="89"/>
      <c r="C27" s="90"/>
      <c r="D27" s="91"/>
      <c r="E27" s="1"/>
      <c r="F27" s="92" t="s">
        <v>57</v>
      </c>
      <c r="G27" s="93">
        <f>SUM(G8:G26)</f>
        <v>2162</v>
      </c>
      <c r="H27" s="94">
        <f>SUM(H8:H26)</f>
        <v>60622.200000000004</v>
      </c>
      <c r="I27" s="95">
        <f>+H27/G27</f>
        <v>28.039870490286773</v>
      </c>
      <c r="J27" s="96">
        <f>SUM(J8:J26)</f>
        <v>1.1012681337869636</v>
      </c>
      <c r="K27" s="97"/>
      <c r="L27" s="3"/>
    </row>
    <row r="28" spans="1:12" ht="15.75" thickBot="1">
      <c r="A28" s="98" t="s">
        <v>58</v>
      </c>
      <c r="B28" s="99"/>
      <c r="C28" s="90">
        <v>15678.5</v>
      </c>
      <c r="D28" s="100"/>
      <c r="E28" s="1"/>
      <c r="F28" s="22" t="s">
        <v>59</v>
      </c>
      <c r="G28" s="23"/>
      <c r="H28" s="23"/>
      <c r="I28" s="23"/>
      <c r="J28" s="23"/>
      <c r="K28" s="24"/>
      <c r="L28" s="3"/>
    </row>
    <row r="29" spans="1:12">
      <c r="A29" s="98" t="s">
        <v>60</v>
      </c>
      <c r="B29" s="99"/>
      <c r="C29" s="101">
        <v>68.319999999999993</v>
      </c>
      <c r="D29" s="102"/>
      <c r="E29" s="1"/>
      <c r="F29" s="29"/>
      <c r="G29" s="30" t="s">
        <v>61</v>
      </c>
      <c r="H29" s="30" t="s">
        <v>62</v>
      </c>
      <c r="I29" s="30"/>
      <c r="J29" s="30" t="s">
        <v>63</v>
      </c>
      <c r="K29" s="30" t="s">
        <v>64</v>
      </c>
      <c r="L29" s="3"/>
    </row>
    <row r="30" spans="1:12" ht="15.75">
      <c r="A30" s="98" t="s">
        <v>60</v>
      </c>
      <c r="B30" s="99"/>
      <c r="C30" s="101">
        <v>59.33</v>
      </c>
      <c r="D30" s="102"/>
      <c r="E30" s="1"/>
      <c r="F30" s="103" t="s">
        <v>65</v>
      </c>
      <c r="G30" s="104">
        <f>+C12</f>
        <v>55047.629310344833</v>
      </c>
      <c r="H30" s="105">
        <v>100789.95</v>
      </c>
      <c r="I30" s="106" t="s">
        <v>66</v>
      </c>
      <c r="J30" s="107">
        <f t="shared" ref="J30:J37" si="2">((G30-H30)/H30)</f>
        <v>-0.4538381127250799</v>
      </c>
      <c r="K30" s="108">
        <f t="shared" ref="K30:K37" si="3">+G30-H30</f>
        <v>-45742.320689655164</v>
      </c>
      <c r="L30" s="3"/>
    </row>
    <row r="31" spans="1:12" ht="15.75">
      <c r="A31" s="98" t="s">
        <v>60</v>
      </c>
      <c r="B31" s="99"/>
      <c r="C31" s="101"/>
      <c r="D31" s="102"/>
      <c r="E31" s="1"/>
      <c r="F31" s="103" t="s">
        <v>67</v>
      </c>
      <c r="G31" s="109">
        <f>+C19</f>
        <v>877</v>
      </c>
      <c r="H31" s="110">
        <f>+(C21*5%)+C21</f>
        <v>0</v>
      </c>
      <c r="I31" s="111" t="s">
        <v>68</v>
      </c>
      <c r="J31" s="107" t="e">
        <f t="shared" si="2"/>
        <v>#DIV/0!</v>
      </c>
      <c r="K31" s="112">
        <f t="shared" si="3"/>
        <v>877</v>
      </c>
      <c r="L31" s="3"/>
    </row>
    <row r="32" spans="1:12" ht="15.75">
      <c r="A32" s="98" t="s">
        <v>60</v>
      </c>
      <c r="B32" s="99"/>
      <c r="C32" s="101"/>
      <c r="D32" s="102"/>
      <c r="E32" s="1"/>
      <c r="F32" s="103" t="s">
        <v>46</v>
      </c>
      <c r="G32" s="104">
        <f>+C22</f>
        <v>62.768106397200491</v>
      </c>
      <c r="H32" s="104">
        <v>60</v>
      </c>
      <c r="I32" s="113" t="s">
        <v>66</v>
      </c>
      <c r="J32" s="107">
        <f t="shared" si="2"/>
        <v>4.6135106620008179E-2</v>
      </c>
      <c r="K32" s="108">
        <f t="shared" si="3"/>
        <v>2.7681063972004907</v>
      </c>
      <c r="L32" s="3"/>
    </row>
    <row r="33" spans="1:12" ht="15.75">
      <c r="A33" s="71" t="s">
        <v>69</v>
      </c>
      <c r="B33" s="99"/>
      <c r="C33" s="101"/>
      <c r="D33" s="102"/>
      <c r="E33" s="1"/>
      <c r="F33" s="103" t="s">
        <v>70</v>
      </c>
      <c r="G33" s="104">
        <f>+H16</f>
        <v>7187.96</v>
      </c>
      <c r="H33" s="104">
        <f>+G30*10%</f>
        <v>5504.7629310344837</v>
      </c>
      <c r="I33" s="114" t="s">
        <v>71</v>
      </c>
      <c r="J33" s="107">
        <f t="shared" si="2"/>
        <v>0.30577103683722145</v>
      </c>
      <c r="K33" s="108">
        <f t="shared" si="3"/>
        <v>1683.1970689655163</v>
      </c>
      <c r="L33" s="3"/>
    </row>
    <row r="34" spans="1:12" ht="15.75">
      <c r="A34" s="71" t="s">
        <v>72</v>
      </c>
      <c r="B34" s="99"/>
      <c r="C34" s="101"/>
      <c r="D34" s="102"/>
      <c r="E34" s="1"/>
      <c r="F34" s="103" t="s">
        <v>73</v>
      </c>
      <c r="G34" s="104">
        <f>+H24</f>
        <v>838.27</v>
      </c>
      <c r="H34" s="104">
        <f>+G30*2%</f>
        <v>1100.9525862068967</v>
      </c>
      <c r="I34" s="114" t="s">
        <v>74</v>
      </c>
      <c r="J34" s="107">
        <f t="shared" si="2"/>
        <v>-0.23859573018663319</v>
      </c>
      <c r="K34" s="108">
        <f t="shared" si="3"/>
        <v>-262.68258620689676</v>
      </c>
      <c r="L34" s="3"/>
    </row>
    <row r="35" spans="1:12" ht="15.75">
      <c r="A35" s="71" t="s">
        <v>72</v>
      </c>
      <c r="B35" s="115"/>
      <c r="C35" s="101"/>
      <c r="D35" s="102"/>
      <c r="E35" s="1"/>
      <c r="F35" s="103" t="s">
        <v>75</v>
      </c>
      <c r="G35" s="104">
        <f>+C52</f>
        <v>485.06</v>
      </c>
      <c r="H35" s="104">
        <f>+G30*0.2%</f>
        <v>110.09525862068966</v>
      </c>
      <c r="I35" s="116" t="s">
        <v>76</v>
      </c>
      <c r="J35" s="107">
        <f t="shared" si="2"/>
        <v>3.4058209779148934</v>
      </c>
      <c r="K35" s="108">
        <f t="shared" si="3"/>
        <v>374.96474137931034</v>
      </c>
      <c r="L35" s="3"/>
    </row>
    <row r="36" spans="1:12" ht="15.75">
      <c r="A36" s="71" t="s">
        <v>72</v>
      </c>
      <c r="B36" s="115"/>
      <c r="C36" s="101"/>
      <c r="D36" s="102"/>
      <c r="E36" s="1"/>
      <c r="F36" s="103" t="s">
        <v>77</v>
      </c>
      <c r="G36" s="104">
        <f>+C53</f>
        <v>0</v>
      </c>
      <c r="H36" s="104">
        <f>+G30*0.5%</f>
        <v>275.23814655172418</v>
      </c>
      <c r="I36" s="116" t="s">
        <v>78</v>
      </c>
      <c r="J36" s="107">
        <f t="shared" si="2"/>
        <v>-1</v>
      </c>
      <c r="K36" s="108">
        <f t="shared" si="3"/>
        <v>-275.23814655172418</v>
      </c>
      <c r="L36" s="3"/>
    </row>
    <row r="37" spans="1:12" ht="16.5" thickBot="1">
      <c r="A37" s="71" t="s">
        <v>72</v>
      </c>
      <c r="B37" s="99"/>
      <c r="C37" s="101"/>
      <c r="D37" s="102"/>
      <c r="E37" s="1"/>
      <c r="F37" s="103" t="s">
        <v>79</v>
      </c>
      <c r="G37" s="104">
        <f>+C45</f>
        <v>15806.15</v>
      </c>
      <c r="H37" s="104">
        <f>+C12*34%</f>
        <v>18716.193965517246</v>
      </c>
      <c r="I37" s="117" t="s">
        <v>80</v>
      </c>
      <c r="J37" s="107">
        <f t="shared" si="2"/>
        <v>-0.15548267830942111</v>
      </c>
      <c r="K37" s="108">
        <f t="shared" si="3"/>
        <v>-2910.0439655172468</v>
      </c>
      <c r="L37" s="3"/>
    </row>
    <row r="38" spans="1:12" ht="15.75" thickBot="1">
      <c r="A38" s="71" t="s">
        <v>72</v>
      </c>
      <c r="B38" s="99"/>
      <c r="C38" s="101"/>
      <c r="D38" s="102"/>
      <c r="E38" s="1"/>
      <c r="F38" s="118"/>
      <c r="G38" s="119"/>
      <c r="H38" s="119"/>
      <c r="I38" s="119"/>
      <c r="J38" s="119"/>
      <c r="K38" s="120"/>
      <c r="L38" s="3"/>
    </row>
    <row r="39" spans="1:12" ht="15.75" thickBot="1">
      <c r="A39" s="121" t="s">
        <v>81</v>
      </c>
      <c r="B39" s="122"/>
      <c r="C39" s="101"/>
      <c r="D39" s="123"/>
      <c r="E39" s="1"/>
      <c r="F39" s="124" t="s">
        <v>82</v>
      </c>
      <c r="G39" s="125"/>
      <c r="H39" s="125"/>
      <c r="I39" s="125"/>
      <c r="J39" s="125"/>
      <c r="K39" s="126"/>
      <c r="L39" s="3"/>
    </row>
    <row r="40" spans="1:12">
      <c r="A40" s="121" t="s">
        <v>81</v>
      </c>
      <c r="B40" s="122"/>
      <c r="C40" s="101"/>
      <c r="D40" s="123"/>
      <c r="E40" s="1"/>
      <c r="F40" s="127" t="s">
        <v>83</v>
      </c>
      <c r="G40" s="127" t="s">
        <v>84</v>
      </c>
      <c r="H40" s="127" t="s">
        <v>85</v>
      </c>
      <c r="I40" s="127" t="s">
        <v>86</v>
      </c>
      <c r="J40" s="128" t="s">
        <v>87</v>
      </c>
      <c r="K40" s="127" t="s">
        <v>88</v>
      </c>
      <c r="L40" s="3"/>
    </row>
    <row r="41" spans="1:12">
      <c r="A41" s="121" t="s">
        <v>81</v>
      </c>
      <c r="B41" s="122"/>
      <c r="C41" s="101"/>
      <c r="D41" s="123"/>
      <c r="E41" s="1"/>
      <c r="F41" s="129" t="s">
        <v>89</v>
      </c>
      <c r="G41" s="130"/>
      <c r="H41" s="131"/>
      <c r="I41" s="131"/>
      <c r="J41" s="131"/>
      <c r="K41" s="130"/>
      <c r="L41" s="3"/>
    </row>
    <row r="42" spans="1:12">
      <c r="A42" s="121" t="s">
        <v>81</v>
      </c>
      <c r="B42" s="122"/>
      <c r="C42" s="101"/>
      <c r="D42" s="132"/>
      <c r="E42" s="1"/>
      <c r="F42" s="129" t="s">
        <v>90</v>
      </c>
      <c r="G42" s="131"/>
      <c r="H42" s="131"/>
      <c r="I42" s="131"/>
      <c r="J42" s="131"/>
      <c r="K42" s="131"/>
      <c r="L42" s="3"/>
    </row>
    <row r="43" spans="1:12" ht="15.75" thickBot="1">
      <c r="A43" s="60" t="s">
        <v>91</v>
      </c>
      <c r="B43" s="133"/>
      <c r="C43" s="134">
        <f>SUM(C28:C42)</f>
        <v>15806.15</v>
      </c>
      <c r="D43" s="63"/>
      <c r="E43" s="1"/>
      <c r="F43" s="129" t="s">
        <v>92</v>
      </c>
      <c r="G43" s="130"/>
      <c r="H43" s="131"/>
      <c r="I43" s="131"/>
      <c r="J43" s="131"/>
      <c r="K43" s="130"/>
      <c r="L43" s="3"/>
    </row>
    <row r="44" spans="1:12" ht="15.75" thickBot="1">
      <c r="A44" s="88" t="s">
        <v>93</v>
      </c>
      <c r="B44" s="89"/>
      <c r="C44" s="90"/>
      <c r="D44" s="56"/>
      <c r="E44" s="1"/>
      <c r="F44" s="129" t="s">
        <v>94</v>
      </c>
      <c r="G44" s="135">
        <f>G41+G42-G43</f>
        <v>0</v>
      </c>
      <c r="H44" s="135">
        <f>H41+H42-H43</f>
        <v>0</v>
      </c>
      <c r="I44" s="135">
        <f>I41+I42-I43</f>
        <v>0</v>
      </c>
      <c r="J44" s="135">
        <f>J41+J42-J43</f>
        <v>0</v>
      </c>
      <c r="K44" s="135">
        <f>K41+K42-K43</f>
        <v>0</v>
      </c>
      <c r="L44" s="3"/>
    </row>
    <row r="45" spans="1:12" ht="15.75" thickBot="1">
      <c r="A45" s="136" t="s">
        <v>95</v>
      </c>
      <c r="B45" s="137"/>
      <c r="C45" s="138">
        <f>+(C27+C43)-C44</f>
        <v>15806.15</v>
      </c>
      <c r="D45" s="139">
        <f>+C45/C$12</f>
        <v>0.28713588937479689</v>
      </c>
      <c r="E45" s="1"/>
      <c r="F45" s="129" t="s">
        <v>96</v>
      </c>
      <c r="G45" s="140"/>
      <c r="H45" s="140"/>
      <c r="I45" s="140"/>
      <c r="J45" s="140"/>
      <c r="K45" s="140"/>
      <c r="L45" s="3"/>
    </row>
    <row r="46" spans="1:12" ht="15.75" thickBot="1">
      <c r="A46" s="136"/>
      <c r="B46" s="137"/>
      <c r="C46" s="141"/>
      <c r="D46" s="142"/>
      <c r="E46" s="1"/>
      <c r="F46" s="143" t="s">
        <v>97</v>
      </c>
      <c r="G46" s="144">
        <f>G45+G48-G44-G49</f>
        <v>0</v>
      </c>
      <c r="H46" s="144">
        <f>H45+H48-H44-H49</f>
        <v>0</v>
      </c>
      <c r="I46" s="144">
        <f>I45+I48-I44-I49</f>
        <v>0</v>
      </c>
      <c r="J46" s="144">
        <f>J45+J48-J44-J49</f>
        <v>0</v>
      </c>
      <c r="K46" s="144">
        <f>K45+K48-K44-K49</f>
        <v>0</v>
      </c>
      <c r="L46" s="3"/>
    </row>
    <row r="47" spans="1:12">
      <c r="A47" s="32" t="s">
        <v>98</v>
      </c>
      <c r="B47" s="33"/>
      <c r="C47" s="145">
        <f>+C75+C76+C77+C78+C79+C80+C81</f>
        <v>20494.62</v>
      </c>
      <c r="D47" s="146">
        <f>+C47/C$12</f>
        <v>0.37230704131610159</v>
      </c>
      <c r="E47" s="1"/>
      <c r="F47" s="129" t="s">
        <v>99</v>
      </c>
      <c r="G47" s="147">
        <f>+G46*I10</f>
        <v>0</v>
      </c>
      <c r="H47" s="147">
        <f>+H46*$I$8</f>
        <v>0</v>
      </c>
      <c r="I47" s="147">
        <f>+I46*$I$8</f>
        <v>0</v>
      </c>
      <c r="J47" s="147">
        <f>+J46*$I$8</f>
        <v>0</v>
      </c>
      <c r="K47" s="147">
        <f>+K46*I16</f>
        <v>0</v>
      </c>
      <c r="L47" s="3"/>
    </row>
    <row r="48" spans="1:12">
      <c r="A48" s="47" t="s">
        <v>100</v>
      </c>
      <c r="B48" s="48"/>
      <c r="C48" s="148">
        <f>C45-C47</f>
        <v>-4688.4699999999993</v>
      </c>
      <c r="D48" s="59">
        <f>D45-D47</f>
        <v>-8.5171151941304701E-2</v>
      </c>
      <c r="E48" s="1"/>
      <c r="F48" s="149" t="s">
        <v>75</v>
      </c>
      <c r="G48" s="150"/>
      <c r="H48" s="150"/>
      <c r="I48" s="150"/>
      <c r="J48" s="150"/>
      <c r="K48" s="150"/>
      <c r="L48" s="3"/>
    </row>
    <row r="49" spans="1:12">
      <c r="A49" s="151"/>
      <c r="B49" s="151"/>
      <c r="C49" s="152"/>
      <c r="D49" s="153"/>
      <c r="E49" s="1"/>
      <c r="F49" s="149" t="s">
        <v>101</v>
      </c>
      <c r="G49" s="154"/>
      <c r="H49" s="154"/>
      <c r="I49" s="154"/>
      <c r="J49" s="154"/>
      <c r="K49" s="154"/>
      <c r="L49" s="3"/>
    </row>
    <row r="50" spans="1:12">
      <c r="A50" s="19" t="s">
        <v>102</v>
      </c>
      <c r="B50" s="155"/>
      <c r="C50" s="155"/>
      <c r="D50" s="20"/>
      <c r="E50" s="1"/>
      <c r="F50" s="19" t="s">
        <v>82</v>
      </c>
      <c r="G50" s="155"/>
      <c r="H50" s="155"/>
      <c r="I50" s="155"/>
      <c r="J50" s="155"/>
      <c r="K50" s="155"/>
      <c r="L50" s="3"/>
    </row>
    <row r="51" spans="1:12">
      <c r="A51" s="32" t="s">
        <v>103</v>
      </c>
      <c r="B51" s="69"/>
      <c r="C51" s="156">
        <f>(C45-C52-C53)</f>
        <v>15321.09</v>
      </c>
      <c r="D51" s="56">
        <f>+C51/C$12</f>
        <v>0.27832424741896711</v>
      </c>
      <c r="E51" s="1"/>
      <c r="F51" s="149" t="s">
        <v>83</v>
      </c>
      <c r="G51" s="149" t="s">
        <v>104</v>
      </c>
      <c r="H51" s="149" t="s">
        <v>105</v>
      </c>
      <c r="I51" s="149" t="s">
        <v>106</v>
      </c>
      <c r="J51" s="149" t="s">
        <v>107</v>
      </c>
      <c r="K51" s="149" t="s">
        <v>108</v>
      </c>
      <c r="L51" s="3"/>
    </row>
    <row r="52" spans="1:12">
      <c r="A52" s="32" t="s">
        <v>109</v>
      </c>
      <c r="B52" s="69"/>
      <c r="C52" s="157">
        <v>485.06</v>
      </c>
      <c r="D52" s="56">
        <f>+C52/C$12</f>
        <v>8.8116419558297854E-3</v>
      </c>
      <c r="E52" s="1"/>
      <c r="F52" s="129" t="s">
        <v>89</v>
      </c>
      <c r="G52" s="131"/>
      <c r="H52" s="131"/>
      <c r="I52" s="131"/>
      <c r="J52" s="131"/>
      <c r="K52" s="130"/>
      <c r="L52" s="3"/>
    </row>
    <row r="53" spans="1:12">
      <c r="A53" s="32" t="s">
        <v>77</v>
      </c>
      <c r="B53" s="69"/>
      <c r="C53" s="157"/>
      <c r="D53" s="56">
        <f>+C53/C$12</f>
        <v>0</v>
      </c>
      <c r="E53" s="1"/>
      <c r="F53" s="129" t="s">
        <v>90</v>
      </c>
      <c r="G53" s="131"/>
      <c r="H53" s="131"/>
      <c r="I53" s="131"/>
      <c r="J53" s="131"/>
      <c r="K53" s="131"/>
      <c r="L53" s="3"/>
    </row>
    <row r="54" spans="1:12" ht="15.75" thickBot="1">
      <c r="A54" s="158" t="s">
        <v>54</v>
      </c>
      <c r="B54" s="159"/>
      <c r="C54" s="160">
        <f>+C51+C52+C53</f>
        <v>15806.15</v>
      </c>
      <c r="D54" s="161">
        <f>+C54/C$12</f>
        <v>0.28713588937479689</v>
      </c>
      <c r="E54" s="1"/>
      <c r="F54" s="129" t="s">
        <v>92</v>
      </c>
      <c r="G54" s="131"/>
      <c r="H54" s="131"/>
      <c r="I54" s="131"/>
      <c r="J54" s="131"/>
      <c r="K54" s="130"/>
      <c r="L54" s="3"/>
    </row>
    <row r="55" spans="1:12" ht="16.5" thickBot="1">
      <c r="A55" s="32" t="s">
        <v>110</v>
      </c>
      <c r="B55" s="69"/>
      <c r="C55" s="162"/>
      <c r="D55" s="56">
        <f>+C55/C12</f>
        <v>0</v>
      </c>
      <c r="E55" s="1"/>
      <c r="F55" s="129" t="s">
        <v>94</v>
      </c>
      <c r="G55" s="135">
        <f>G52+G53-G54</f>
        <v>0</v>
      </c>
      <c r="H55" s="135">
        <f>H52+H53-H54</f>
        <v>0</v>
      </c>
      <c r="I55" s="135">
        <f>I52+I53-I54</f>
        <v>0</v>
      </c>
      <c r="J55" s="135">
        <f>J52+J53-J54</f>
        <v>0</v>
      </c>
      <c r="K55" s="135">
        <f>K52+K53-K54</f>
        <v>0</v>
      </c>
      <c r="L55" s="3"/>
    </row>
    <row r="56" spans="1:12" ht="15.75" thickBot="1">
      <c r="A56" s="163" t="s">
        <v>111</v>
      </c>
      <c r="B56" s="164"/>
      <c r="C56" s="165">
        <f>+C12-((C12*6.85%)+C54+C55)</f>
        <v>35470.716702586215</v>
      </c>
      <c r="D56" s="50">
        <f>+C56/C12</f>
        <v>0.64436411062520316</v>
      </c>
      <c r="E56" s="1"/>
      <c r="F56" s="129" t="s">
        <v>96</v>
      </c>
      <c r="G56" s="140"/>
      <c r="H56" s="140"/>
      <c r="I56" s="140"/>
      <c r="J56" s="140"/>
      <c r="K56" s="140"/>
      <c r="L56" s="3"/>
    </row>
    <row r="57" spans="1:12" ht="15.75" thickBot="1">
      <c r="A57" s="19" t="s">
        <v>112</v>
      </c>
      <c r="B57" s="155"/>
      <c r="C57" s="155"/>
      <c r="D57" s="166"/>
      <c r="E57" s="1"/>
      <c r="F57" s="143" t="s">
        <v>97</v>
      </c>
      <c r="G57" s="144">
        <f>G56+G59-G55-G60</f>
        <v>0</v>
      </c>
      <c r="H57" s="144">
        <f>H56+H59-H55-H60</f>
        <v>0</v>
      </c>
      <c r="I57" s="144">
        <f>I56+I59-I55-I60</f>
        <v>0</v>
      </c>
      <c r="J57" s="144">
        <f>J56+J59-J55-J60</f>
        <v>0</v>
      </c>
      <c r="K57" s="144">
        <f>K56+K59-K55-K60</f>
        <v>0</v>
      </c>
      <c r="L57" s="3"/>
    </row>
    <row r="58" spans="1:12">
      <c r="A58" s="167" t="s">
        <v>113</v>
      </c>
      <c r="B58" s="168"/>
      <c r="C58" s="169">
        <v>7890.85</v>
      </c>
      <c r="D58" s="170">
        <f>+C58/$C$12</f>
        <v>0.14334586427897469</v>
      </c>
      <c r="E58" s="1"/>
      <c r="F58" s="129" t="s">
        <v>99</v>
      </c>
      <c r="G58" s="147">
        <f>+G57*I18</f>
        <v>0</v>
      </c>
      <c r="H58" s="147">
        <f>+H57*I13</f>
        <v>0</v>
      </c>
      <c r="I58" s="147">
        <f>+I57*I15</f>
        <v>0</v>
      </c>
      <c r="J58" s="147">
        <f>+J57*I11</f>
        <v>0</v>
      </c>
      <c r="K58" s="147">
        <f>+K57*I12</f>
        <v>0</v>
      </c>
      <c r="L58" s="3"/>
    </row>
    <row r="59" spans="1:12">
      <c r="A59" s="171" t="s">
        <v>114</v>
      </c>
      <c r="B59" s="172"/>
      <c r="C59" s="173">
        <v>3294.1</v>
      </c>
      <c r="D59" s="174">
        <f t="shared" ref="D59:D64" si="4">+C59/$C$12</f>
        <v>5.984090579866181E-2</v>
      </c>
      <c r="E59" s="1"/>
      <c r="F59" s="149" t="s">
        <v>75</v>
      </c>
      <c r="G59" s="150"/>
      <c r="H59" s="150"/>
      <c r="I59" s="150"/>
      <c r="J59" s="150"/>
      <c r="K59" s="150"/>
      <c r="L59" s="3"/>
    </row>
    <row r="60" spans="1:12">
      <c r="A60" s="171" t="s">
        <v>115</v>
      </c>
      <c r="B60" s="172"/>
      <c r="C60" s="173">
        <v>7872.24</v>
      </c>
      <c r="D60" s="174">
        <f t="shared" si="4"/>
        <v>0.14300779340774641</v>
      </c>
      <c r="E60" s="1"/>
      <c r="F60" s="149" t="s">
        <v>101</v>
      </c>
      <c r="G60" s="154"/>
      <c r="H60" s="154"/>
      <c r="I60" s="154"/>
      <c r="J60" s="154"/>
      <c r="K60" s="154"/>
      <c r="L60" s="3"/>
    </row>
    <row r="61" spans="1:12">
      <c r="A61" s="171" t="s">
        <v>116</v>
      </c>
      <c r="B61" s="172"/>
      <c r="C61" s="173">
        <v>6081</v>
      </c>
      <c r="D61" s="174">
        <f t="shared" si="4"/>
        <v>0.11046797248464299</v>
      </c>
      <c r="E61" s="1"/>
      <c r="F61" s="175" t="s">
        <v>117</v>
      </c>
      <c r="G61" s="176"/>
      <c r="H61" s="176"/>
      <c r="I61" s="176"/>
      <c r="J61" s="176"/>
      <c r="K61" s="176"/>
      <c r="L61" s="3"/>
    </row>
    <row r="62" spans="1:12">
      <c r="A62" s="171" t="s">
        <v>118</v>
      </c>
      <c r="B62" s="172"/>
      <c r="C62" s="173">
        <v>8912.2199999999993</v>
      </c>
      <c r="D62" s="174">
        <f t="shared" si="4"/>
        <v>0.16190016012778899</v>
      </c>
      <c r="E62" s="1"/>
      <c r="F62" s="177" t="s">
        <v>119</v>
      </c>
      <c r="G62" s="178"/>
      <c r="H62" s="178"/>
      <c r="I62" s="178"/>
      <c r="J62" s="178"/>
      <c r="K62" s="178"/>
      <c r="L62" s="3"/>
    </row>
    <row r="63" spans="1:12">
      <c r="A63" s="171" t="s">
        <v>120</v>
      </c>
      <c r="B63" s="172"/>
      <c r="C63" s="173">
        <v>10072.41</v>
      </c>
      <c r="D63" s="174">
        <f t="shared" si="4"/>
        <v>0.18297627211544859</v>
      </c>
      <c r="E63" s="1"/>
      <c r="F63" s="179" t="s">
        <v>121</v>
      </c>
      <c r="G63" s="180"/>
      <c r="H63" s="181">
        <f t="shared" ref="H63:H80" si="5">+G63/$C$19</f>
        <v>0</v>
      </c>
      <c r="I63" s="182"/>
      <c r="J63" s="180"/>
      <c r="K63" s="181">
        <f t="shared" ref="K63:K80" si="6">+J63/$C$19</f>
        <v>0</v>
      </c>
      <c r="L63" s="3"/>
    </row>
    <row r="64" spans="1:12">
      <c r="A64" s="183" t="s">
        <v>122</v>
      </c>
      <c r="B64" s="184"/>
      <c r="C64" s="185">
        <v>10924.54</v>
      </c>
      <c r="D64" s="186">
        <f t="shared" si="4"/>
        <v>0.19845613947169574</v>
      </c>
      <c r="E64" s="1"/>
      <c r="F64" s="179" t="s">
        <v>123</v>
      </c>
      <c r="G64" s="187"/>
      <c r="H64" s="181">
        <f t="shared" si="5"/>
        <v>0</v>
      </c>
      <c r="I64" s="179"/>
      <c r="J64" s="180"/>
      <c r="K64" s="181">
        <f t="shared" si="6"/>
        <v>0</v>
      </c>
      <c r="L64" s="3"/>
    </row>
    <row r="65" spans="1:12">
      <c r="A65" s="1"/>
      <c r="B65" s="188">
        <f>+C12</f>
        <v>55047.629310344833</v>
      </c>
      <c r="C65" s="189"/>
      <c r="D65" s="190">
        <f>SUM(D58:D64)</f>
        <v>0.99999510768495914</v>
      </c>
      <c r="E65" s="1"/>
      <c r="F65" s="179" t="s">
        <v>124</v>
      </c>
      <c r="G65" s="187"/>
      <c r="H65" s="181">
        <f t="shared" si="5"/>
        <v>0</v>
      </c>
      <c r="I65" s="179"/>
      <c r="J65" s="180"/>
      <c r="K65" s="181">
        <f t="shared" si="6"/>
        <v>0</v>
      </c>
      <c r="L65" s="3"/>
    </row>
    <row r="66" spans="1:12">
      <c r="A66" s="19" t="s">
        <v>125</v>
      </c>
      <c r="B66" s="155"/>
      <c r="C66" s="155"/>
      <c r="D66" s="166"/>
      <c r="E66" s="1"/>
      <c r="F66" s="179" t="s">
        <v>126</v>
      </c>
      <c r="G66" s="187"/>
      <c r="H66" s="181">
        <f t="shared" si="5"/>
        <v>0</v>
      </c>
      <c r="I66" s="179"/>
      <c r="J66" s="180"/>
      <c r="K66" s="181">
        <f t="shared" si="6"/>
        <v>0</v>
      </c>
      <c r="L66" s="3"/>
    </row>
    <row r="67" spans="1:12">
      <c r="A67" s="167" t="s">
        <v>113</v>
      </c>
      <c r="B67" s="168"/>
      <c r="C67" s="191">
        <v>112</v>
      </c>
      <c r="D67" s="170">
        <f>+C67/$C$19</f>
        <v>0.12770809578107184</v>
      </c>
      <c r="E67" s="1"/>
      <c r="F67" s="179" t="s">
        <v>127</v>
      </c>
      <c r="G67" s="187"/>
      <c r="H67" s="181">
        <f t="shared" si="5"/>
        <v>0</v>
      </c>
      <c r="I67" s="179"/>
      <c r="J67" s="180"/>
      <c r="K67" s="181">
        <f t="shared" si="6"/>
        <v>0</v>
      </c>
      <c r="L67" s="3"/>
    </row>
    <row r="68" spans="1:12">
      <c r="A68" s="171" t="s">
        <v>114</v>
      </c>
      <c r="B68" s="172"/>
      <c r="C68" s="192">
        <v>62</v>
      </c>
      <c r="D68" s="174">
        <f t="shared" ref="D68:D73" si="7">+C68/$C$19</f>
        <v>7.0695553021664762E-2</v>
      </c>
      <c r="E68" s="1"/>
      <c r="F68" s="179" t="s">
        <v>128</v>
      </c>
      <c r="G68" s="187"/>
      <c r="H68" s="181">
        <f t="shared" si="5"/>
        <v>0</v>
      </c>
      <c r="I68" s="179"/>
      <c r="J68" s="180"/>
      <c r="K68" s="181">
        <f t="shared" si="6"/>
        <v>0</v>
      </c>
      <c r="L68" s="3"/>
    </row>
    <row r="69" spans="1:12">
      <c r="A69" s="171" t="s">
        <v>115</v>
      </c>
      <c r="B69" s="172"/>
      <c r="C69" s="192">
        <v>162</v>
      </c>
      <c r="D69" s="174">
        <f t="shared" si="7"/>
        <v>0.1847206385404789</v>
      </c>
      <c r="E69" s="1"/>
      <c r="F69" s="179" t="s">
        <v>129</v>
      </c>
      <c r="G69" s="187"/>
      <c r="H69" s="181">
        <f t="shared" si="5"/>
        <v>0</v>
      </c>
      <c r="I69" s="179"/>
      <c r="J69" s="180"/>
      <c r="K69" s="181">
        <f t="shared" si="6"/>
        <v>0</v>
      </c>
      <c r="L69" s="3"/>
    </row>
    <row r="70" spans="1:12">
      <c r="A70" s="171" t="s">
        <v>116</v>
      </c>
      <c r="B70" s="172"/>
      <c r="C70" s="192">
        <v>92</v>
      </c>
      <c r="D70" s="174">
        <f t="shared" si="7"/>
        <v>0.10490307867730901</v>
      </c>
      <c r="E70" s="1"/>
      <c r="F70" s="179" t="s">
        <v>130</v>
      </c>
      <c r="G70" s="187"/>
      <c r="H70" s="181">
        <f t="shared" si="5"/>
        <v>0</v>
      </c>
      <c r="I70" s="193" t="s">
        <v>131</v>
      </c>
      <c r="J70" s="194"/>
      <c r="K70" s="195"/>
      <c r="L70" s="3"/>
    </row>
    <row r="71" spans="1:12">
      <c r="A71" s="171" t="s">
        <v>118</v>
      </c>
      <c r="B71" s="172"/>
      <c r="C71" s="192">
        <v>130</v>
      </c>
      <c r="D71" s="174">
        <f t="shared" si="7"/>
        <v>0.14823261117445838</v>
      </c>
      <c r="E71" s="1"/>
      <c r="F71" s="179" t="s">
        <v>132</v>
      </c>
      <c r="G71" s="180"/>
      <c r="H71" s="181">
        <f t="shared" si="5"/>
        <v>0</v>
      </c>
      <c r="I71" s="182" t="s">
        <v>133</v>
      </c>
      <c r="J71" s="187"/>
      <c r="K71" s="181">
        <f t="shared" si="6"/>
        <v>0</v>
      </c>
      <c r="L71" s="3"/>
    </row>
    <row r="72" spans="1:12">
      <c r="A72" s="171" t="s">
        <v>120</v>
      </c>
      <c r="B72" s="172"/>
      <c r="C72" s="192">
        <v>155</v>
      </c>
      <c r="D72" s="174">
        <f t="shared" si="7"/>
        <v>0.17673888255416192</v>
      </c>
      <c r="E72" s="1"/>
      <c r="F72" s="179" t="s">
        <v>134</v>
      </c>
      <c r="G72" s="180"/>
      <c r="H72" s="181">
        <f t="shared" si="5"/>
        <v>0</v>
      </c>
      <c r="I72" s="182"/>
      <c r="J72" s="187"/>
      <c r="K72" s="181">
        <f t="shared" si="6"/>
        <v>0</v>
      </c>
      <c r="L72" s="3"/>
    </row>
    <row r="73" spans="1:12">
      <c r="A73" s="183" t="s">
        <v>122</v>
      </c>
      <c r="B73" s="184"/>
      <c r="C73" s="196">
        <v>164</v>
      </c>
      <c r="D73" s="186">
        <f t="shared" si="7"/>
        <v>0.18700114025085518</v>
      </c>
      <c r="E73" s="1"/>
      <c r="F73" s="179" t="s">
        <v>135</v>
      </c>
      <c r="G73" s="180"/>
      <c r="H73" s="181">
        <f t="shared" si="5"/>
        <v>0</v>
      </c>
      <c r="I73" s="182"/>
      <c r="J73" s="187"/>
      <c r="K73" s="181">
        <f t="shared" si="6"/>
        <v>0</v>
      </c>
      <c r="L73" s="3"/>
    </row>
    <row r="74" spans="1:12">
      <c r="A74" s="19" t="s">
        <v>136</v>
      </c>
      <c r="B74" s="155"/>
      <c r="C74" s="155"/>
      <c r="D74" s="197"/>
      <c r="E74" s="1"/>
      <c r="F74" s="179" t="s">
        <v>137</v>
      </c>
      <c r="G74" s="180"/>
      <c r="H74" s="181">
        <f t="shared" si="5"/>
        <v>0</v>
      </c>
      <c r="I74" s="182"/>
      <c r="J74" s="187"/>
      <c r="K74" s="181">
        <f t="shared" si="6"/>
        <v>0</v>
      </c>
      <c r="L74" s="3"/>
    </row>
    <row r="75" spans="1:12">
      <c r="A75" s="167" t="s">
        <v>113</v>
      </c>
      <c r="B75" s="168"/>
      <c r="C75" s="169">
        <v>2825.62</v>
      </c>
      <c r="D75" s="170">
        <f>+C75/C58</f>
        <v>0.35808816540676858</v>
      </c>
      <c r="E75" s="1"/>
      <c r="F75" s="179" t="s">
        <v>138</v>
      </c>
      <c r="G75" s="180"/>
      <c r="H75" s="181">
        <f t="shared" si="5"/>
        <v>0</v>
      </c>
      <c r="I75" s="182"/>
      <c r="J75" s="187"/>
      <c r="K75" s="181">
        <f t="shared" si="6"/>
        <v>0</v>
      </c>
      <c r="L75" s="3"/>
    </row>
    <row r="76" spans="1:12">
      <c r="A76" s="171" t="s">
        <v>114</v>
      </c>
      <c r="B76" s="172"/>
      <c r="C76" s="173">
        <v>1278.78</v>
      </c>
      <c r="D76" s="174">
        <f t="shared" ref="D76:D81" si="8">+C76/C59</f>
        <v>0.38820315108830938</v>
      </c>
      <c r="E76" s="1"/>
      <c r="F76" s="179"/>
      <c r="G76" s="180"/>
      <c r="H76" s="181">
        <f t="shared" si="5"/>
        <v>0</v>
      </c>
      <c r="I76" s="179" t="s">
        <v>113</v>
      </c>
      <c r="J76" s="187"/>
      <c r="K76" s="181">
        <f t="shared" si="6"/>
        <v>0</v>
      </c>
      <c r="L76" s="3"/>
    </row>
    <row r="77" spans="1:12">
      <c r="A77" s="171" t="s">
        <v>115</v>
      </c>
      <c r="B77" s="172"/>
      <c r="C77" s="173">
        <v>3830.66</v>
      </c>
      <c r="D77" s="174">
        <f t="shared" si="8"/>
        <v>0.48660355883458839</v>
      </c>
      <c r="E77" s="1"/>
      <c r="F77" s="179"/>
      <c r="G77" s="180"/>
      <c r="H77" s="181">
        <f t="shared" si="5"/>
        <v>0</v>
      </c>
      <c r="I77" s="179" t="s">
        <v>114</v>
      </c>
      <c r="J77" s="187"/>
      <c r="K77" s="181">
        <f t="shared" si="6"/>
        <v>0</v>
      </c>
      <c r="L77" s="3"/>
    </row>
    <row r="78" spans="1:12">
      <c r="A78" s="171" t="s">
        <v>116</v>
      </c>
      <c r="B78" s="172"/>
      <c r="C78" s="173">
        <v>2072.85</v>
      </c>
      <c r="D78" s="174">
        <f t="shared" si="8"/>
        <v>0.34087321164282192</v>
      </c>
      <c r="E78" s="1"/>
      <c r="F78" s="179"/>
      <c r="G78" s="180"/>
      <c r="H78" s="181">
        <f t="shared" si="5"/>
        <v>0</v>
      </c>
      <c r="I78" s="179" t="s">
        <v>115</v>
      </c>
      <c r="J78" s="187"/>
      <c r="K78" s="181">
        <f t="shared" si="6"/>
        <v>0</v>
      </c>
      <c r="L78" s="3"/>
    </row>
    <row r="79" spans="1:12">
      <c r="A79" s="171" t="s">
        <v>118</v>
      </c>
      <c r="B79" s="172"/>
      <c r="C79" s="173">
        <v>3230.46</v>
      </c>
      <c r="D79" s="174">
        <f t="shared" si="8"/>
        <v>0.36247534284387056</v>
      </c>
      <c r="E79" s="198"/>
      <c r="F79" s="179"/>
      <c r="G79" s="180"/>
      <c r="H79" s="181">
        <f t="shared" si="5"/>
        <v>0</v>
      </c>
      <c r="I79" s="179" t="s">
        <v>139</v>
      </c>
      <c r="J79" s="187"/>
      <c r="K79" s="181">
        <f t="shared" si="6"/>
        <v>0</v>
      </c>
      <c r="L79" s="3"/>
    </row>
    <row r="80" spans="1:12">
      <c r="A80" s="171" t="s">
        <v>120</v>
      </c>
      <c r="B80" s="172"/>
      <c r="C80" s="173">
        <v>3469.34</v>
      </c>
      <c r="D80" s="174">
        <f t="shared" si="8"/>
        <v>0.34443991060729262</v>
      </c>
      <c r="E80" s="198"/>
      <c r="F80" s="179"/>
      <c r="G80" s="180"/>
      <c r="H80" s="181">
        <f t="shared" si="5"/>
        <v>0</v>
      </c>
      <c r="I80" s="179" t="s">
        <v>118</v>
      </c>
      <c r="J80" s="187"/>
      <c r="K80" s="181">
        <f t="shared" si="6"/>
        <v>0</v>
      </c>
      <c r="L80" s="3"/>
    </row>
    <row r="81" spans="1:12">
      <c r="A81" s="183" t="s">
        <v>122</v>
      </c>
      <c r="B81" s="184"/>
      <c r="C81" s="185">
        <v>3786.91</v>
      </c>
      <c r="D81" s="186">
        <f t="shared" si="8"/>
        <v>0.34664251309437283</v>
      </c>
      <c r="E81" s="198"/>
      <c r="F81" s="199" t="s">
        <v>140</v>
      </c>
      <c r="G81" s="200"/>
      <c r="H81" s="201"/>
      <c r="I81" s="202">
        <f>SUM(G63:G80,J63:J69)</f>
        <v>0</v>
      </c>
      <c r="J81" s="203">
        <f>+I81/C19</f>
        <v>0</v>
      </c>
      <c r="K81" s="204"/>
      <c r="L81" s="3"/>
    </row>
    <row r="82" spans="1:12">
      <c r="A82" s="205"/>
      <c r="B82" s="205"/>
      <c r="C82" s="206"/>
      <c r="D82" s="207"/>
      <c r="E82" s="208"/>
      <c r="F82" s="3"/>
      <c r="G82" s="3"/>
      <c r="H82" s="3"/>
      <c r="I82" s="3"/>
      <c r="J82" s="3"/>
      <c r="K82" s="3"/>
      <c r="L82" s="3"/>
    </row>
    <row r="83" spans="1:12">
      <c r="A83" s="205"/>
      <c r="B83" s="205"/>
      <c r="C83" s="206"/>
      <c r="D83" s="207"/>
      <c r="E83" s="208"/>
      <c r="F83" s="3"/>
      <c r="G83" s="3"/>
      <c r="H83" s="3"/>
      <c r="I83" s="3"/>
      <c r="J83" s="3"/>
      <c r="K83" s="3"/>
      <c r="L83" s="3"/>
    </row>
    <row r="84" spans="1:12">
      <c r="A84" s="205"/>
      <c r="B84" s="205"/>
      <c r="C84" s="206"/>
      <c r="D84" s="209"/>
      <c r="E84" s="208"/>
      <c r="F84" s="3"/>
      <c r="G84" s="3"/>
      <c r="H84" s="3"/>
      <c r="I84" s="3"/>
      <c r="J84" s="3"/>
      <c r="K84" s="3"/>
      <c r="L84" s="3"/>
    </row>
    <row r="85" spans="1:12">
      <c r="A85" s="210"/>
      <c r="B85" s="210"/>
      <c r="C85" s="211"/>
      <c r="D85" s="212"/>
      <c r="E85" s="208"/>
      <c r="F85" s="3"/>
      <c r="G85" s="3"/>
      <c r="H85" s="3"/>
      <c r="I85" s="3"/>
      <c r="J85" s="3"/>
      <c r="K85" s="3"/>
      <c r="L85" s="3"/>
    </row>
    <row r="86" spans="1:12">
      <c r="A86" s="213"/>
      <c r="B86" s="213"/>
      <c r="C86" s="213"/>
      <c r="D86" s="213"/>
      <c r="E86" s="208"/>
      <c r="F86" s="3"/>
      <c r="G86" s="3"/>
      <c r="H86" s="3"/>
      <c r="I86" s="3"/>
      <c r="J86" s="3"/>
      <c r="K86" s="3"/>
      <c r="L86" s="3"/>
    </row>
    <row r="87" spans="1:12">
      <c r="A87" s="214"/>
      <c r="B87" s="214"/>
      <c r="C87" s="215"/>
      <c r="D87" s="216"/>
      <c r="E87" s="208"/>
      <c r="F87" s="3"/>
      <c r="G87" s="3"/>
      <c r="H87" s="3"/>
      <c r="I87" s="3"/>
      <c r="J87" s="3"/>
      <c r="K87" s="3"/>
      <c r="L87" s="3"/>
    </row>
    <row r="88" spans="1:12">
      <c r="A88" s="214"/>
      <c r="B88" s="214"/>
      <c r="C88" s="217"/>
      <c r="D88" s="218"/>
      <c r="E88" s="3"/>
      <c r="F88" s="3"/>
      <c r="G88" s="3"/>
      <c r="H88" s="3"/>
      <c r="I88" s="3"/>
      <c r="J88" s="3"/>
      <c r="K88" s="3"/>
      <c r="L88" s="3"/>
    </row>
    <row r="89" spans="1:1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3"/>
      <c r="B90" s="3"/>
      <c r="C90" s="3"/>
      <c r="D90" s="3"/>
      <c r="E90" s="3"/>
      <c r="F90" s="3"/>
      <c r="G90" s="3"/>
      <c r="H90" s="3"/>
      <c r="I90" s="3"/>
      <c r="J90" s="3"/>
      <c r="K90" s="219"/>
      <c r="L90" s="3"/>
    </row>
    <row r="91" spans="1:1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3"/>
      <c r="B103" s="3"/>
      <c r="C103" s="3"/>
      <c r="D103" s="3"/>
      <c r="E103" s="3"/>
      <c r="F103" s="3"/>
      <c r="G103" s="3"/>
      <c r="H103" s="220"/>
      <c r="I103" s="3"/>
      <c r="J103" s="3"/>
      <c r="K103" s="3"/>
      <c r="L103" s="3"/>
    </row>
  </sheetData>
  <customSheetViews>
    <customSheetView guid="{2443864E-3EC0-42CB-9BCC-E86B96EC82D4}">
      <selection sqref="A1:L103"/>
      <pageMargins left="0.7" right="0.7" top="0.75" bottom="0.75" header="0.3" footer="0.3"/>
    </customSheetView>
  </customSheetViews>
  <mergeCells count="49">
    <mergeCell ref="F81:H81"/>
    <mergeCell ref="A57:D57"/>
    <mergeCell ref="F61:K61"/>
    <mergeCell ref="F62:K62"/>
    <mergeCell ref="A66:D66"/>
    <mergeCell ref="I70:K70"/>
    <mergeCell ref="A74:D74"/>
    <mergeCell ref="A51:B51"/>
    <mergeCell ref="A52:B52"/>
    <mergeCell ref="A53:B53"/>
    <mergeCell ref="A54:B54"/>
    <mergeCell ref="A55:B55"/>
    <mergeCell ref="A56:B56"/>
    <mergeCell ref="A46:B46"/>
    <mergeCell ref="A47:B47"/>
    <mergeCell ref="A48:B48"/>
    <mergeCell ref="A49:B49"/>
    <mergeCell ref="A50:D50"/>
    <mergeCell ref="F50:K50"/>
    <mergeCell ref="A27:B27"/>
    <mergeCell ref="F28:K28"/>
    <mergeCell ref="F39:K39"/>
    <mergeCell ref="A43:B43"/>
    <mergeCell ref="A44:B44"/>
    <mergeCell ref="A45:B45"/>
    <mergeCell ref="A19:B19"/>
    <mergeCell ref="A20:B20"/>
    <mergeCell ref="A21:B21"/>
    <mergeCell ref="A22:B22"/>
    <mergeCell ref="A23:B23"/>
    <mergeCell ref="A26:D2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B1:J1"/>
    <mergeCell ref="G2:H2"/>
    <mergeCell ref="G3:H3"/>
    <mergeCell ref="G4:H4"/>
    <mergeCell ref="A6:B6"/>
    <mergeCell ref="F6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customSheetViews>
    <customSheetView guid="{2443864E-3EC0-42CB-9BCC-E86B96EC82D4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customSheetViews>
    <customSheetView guid="{2443864E-3EC0-42CB-9BCC-E86B96EC82D4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customSheetViews>
    <customSheetView guid="{2443864E-3EC0-42CB-9BCC-E86B96EC82D4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3"/>
  <sheetViews>
    <sheetView workbookViewId="0">
      <selection sqref="A1:L103"/>
    </sheetView>
  </sheetViews>
  <sheetFormatPr baseColWidth="10" defaultRowHeight="15"/>
  <sheetData>
    <row r="1" spans="1:12" ht="22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1"/>
      <c r="L1" s="3"/>
    </row>
    <row r="2" spans="1:12" ht="16.5">
      <c r="A2" s="4"/>
      <c r="B2" s="3"/>
      <c r="C2" s="5"/>
      <c r="D2" s="5"/>
      <c r="E2" s="5"/>
      <c r="F2" s="5" t="s">
        <v>2</v>
      </c>
      <c r="G2" s="6"/>
      <c r="H2" s="6"/>
      <c r="I2" s="5"/>
      <c r="J2" s="5"/>
      <c r="K2" s="4"/>
      <c r="L2" s="3"/>
    </row>
    <row r="3" spans="1:12">
      <c r="A3" s="7" t="s">
        <v>3</v>
      </c>
      <c r="B3" s="8"/>
      <c r="C3" s="9"/>
      <c r="D3" s="10"/>
      <c r="E3" s="10"/>
      <c r="F3" s="11" t="s">
        <v>4</v>
      </c>
      <c r="G3" s="12"/>
      <c r="H3" s="12"/>
      <c r="I3" s="13"/>
      <c r="J3" s="14"/>
      <c r="K3" s="14"/>
      <c r="L3" s="3"/>
    </row>
    <row r="4" spans="1:12">
      <c r="A4" s="7" t="s">
        <v>5</v>
      </c>
      <c r="B4" s="8"/>
      <c r="C4" s="9"/>
      <c r="D4" s="10"/>
      <c r="E4" s="10"/>
      <c r="F4" s="11" t="s">
        <v>6</v>
      </c>
      <c r="G4" s="15"/>
      <c r="H4" s="15"/>
      <c r="I4" s="13"/>
      <c r="J4" s="11" t="s">
        <v>7</v>
      </c>
      <c r="K4" s="16"/>
      <c r="L4" s="3"/>
    </row>
    <row r="5" spans="1:12" ht="15.75" thickBot="1">
      <c r="A5" s="17"/>
      <c r="B5" s="17"/>
      <c r="C5" s="17"/>
      <c r="D5" s="17"/>
      <c r="E5" s="17"/>
      <c r="F5" s="17"/>
      <c r="G5" s="17"/>
      <c r="H5" s="17"/>
      <c r="I5" s="18"/>
      <c r="J5" s="17"/>
      <c r="K5" s="17"/>
      <c r="L5" s="3"/>
    </row>
    <row r="6" spans="1:12">
      <c r="A6" s="19" t="s">
        <v>8</v>
      </c>
      <c r="B6" s="20"/>
      <c r="C6" s="21" t="s">
        <v>9</v>
      </c>
      <c r="D6" s="21" t="s">
        <v>10</v>
      </c>
      <c r="E6" s="1"/>
      <c r="F6" s="22" t="s">
        <v>11</v>
      </c>
      <c r="G6" s="23"/>
      <c r="H6" s="23"/>
      <c r="I6" s="23"/>
      <c r="J6" s="23"/>
      <c r="K6" s="24"/>
      <c r="L6" s="3"/>
    </row>
    <row r="7" spans="1:12">
      <c r="A7" s="25" t="s">
        <v>12</v>
      </c>
      <c r="B7" s="26"/>
      <c r="C7" s="27">
        <v>145821.10999999999</v>
      </c>
      <c r="D7" s="28"/>
      <c r="E7" s="1"/>
      <c r="F7" s="29" t="s">
        <v>13</v>
      </c>
      <c r="G7" s="30" t="s">
        <v>14</v>
      </c>
      <c r="H7" s="30" t="s">
        <v>15</v>
      </c>
      <c r="I7" s="30" t="s">
        <v>16</v>
      </c>
      <c r="J7" s="30" t="s">
        <v>17</v>
      </c>
      <c r="K7" s="31"/>
      <c r="L7" s="3"/>
    </row>
    <row r="8" spans="1:12" ht="15.75">
      <c r="A8" s="32" t="s">
        <v>18</v>
      </c>
      <c r="B8" s="33"/>
      <c r="C8" s="34"/>
      <c r="D8" s="35">
        <f>+C8/C7</f>
        <v>0</v>
      </c>
      <c r="E8" s="1"/>
      <c r="F8" s="36" t="s">
        <v>19</v>
      </c>
      <c r="G8" s="37">
        <v>2100</v>
      </c>
      <c r="H8" s="38">
        <v>67333.600000000006</v>
      </c>
      <c r="I8" s="39">
        <f t="shared" ref="I8:I25" si="0">IF(G8&gt;0,(H8/G8),0)</f>
        <v>32.063619047619049</v>
      </c>
      <c r="J8" s="40">
        <f>+H8/$C$12</f>
        <v>0.53563558801602873</v>
      </c>
      <c r="K8" s="41"/>
      <c r="L8" s="42"/>
    </row>
    <row r="9" spans="1:12" ht="15.75">
      <c r="A9" s="32" t="s">
        <v>20</v>
      </c>
      <c r="B9" s="33"/>
      <c r="C9" s="43">
        <f>((C7/1.16)-C7)*-1</f>
        <v>20113.256551724131</v>
      </c>
      <c r="D9" s="35"/>
      <c r="E9" s="1"/>
      <c r="F9" s="36" t="s">
        <v>21</v>
      </c>
      <c r="G9" s="37">
        <v>121</v>
      </c>
      <c r="H9" s="44">
        <v>4926.07</v>
      </c>
      <c r="I9" s="39">
        <f t="shared" si="0"/>
        <v>40.711322314049582</v>
      </c>
      <c r="J9" s="40">
        <f t="shared" ref="J9:J25" si="1">+H9/$C$12</f>
        <v>3.9186652741842382E-2</v>
      </c>
      <c r="K9" s="41"/>
      <c r="L9" s="42"/>
    </row>
    <row r="10" spans="1:12" ht="15.75">
      <c r="A10" s="32" t="s">
        <v>22</v>
      </c>
      <c r="B10" s="33"/>
      <c r="C10" s="45">
        <f>+C7-C11</f>
        <v>145821.10999999999</v>
      </c>
      <c r="D10" s="46">
        <f>+C10/C7</f>
        <v>1</v>
      </c>
      <c r="E10" s="1"/>
      <c r="F10" s="36" t="s">
        <v>23</v>
      </c>
      <c r="G10" s="37">
        <v>54</v>
      </c>
      <c r="H10" s="44">
        <v>2600.7800000000002</v>
      </c>
      <c r="I10" s="39">
        <f t="shared" si="0"/>
        <v>48.162592592592596</v>
      </c>
      <c r="J10" s="40">
        <f t="shared" si="1"/>
        <v>2.0689081299682881E-2</v>
      </c>
      <c r="K10" s="41"/>
      <c r="L10" s="42"/>
    </row>
    <row r="11" spans="1:12" ht="15.75">
      <c r="A11" s="47" t="s">
        <v>24</v>
      </c>
      <c r="B11" s="48"/>
      <c r="C11" s="49">
        <v>0</v>
      </c>
      <c r="D11" s="50">
        <f>+C11/C7</f>
        <v>0</v>
      </c>
      <c r="E11" s="1"/>
      <c r="F11" s="36" t="s">
        <v>25</v>
      </c>
      <c r="G11" s="37">
        <v>279</v>
      </c>
      <c r="H11" s="44">
        <v>6141.28</v>
      </c>
      <c r="I11" s="39">
        <f t="shared" si="0"/>
        <v>22.011756272401431</v>
      </c>
      <c r="J11" s="40">
        <f t="shared" si="1"/>
        <v>4.8853590539805931E-2</v>
      </c>
      <c r="K11" s="41"/>
      <c r="L11" s="42"/>
    </row>
    <row r="12" spans="1:12" ht="15.75">
      <c r="A12" s="51" t="s">
        <v>26</v>
      </c>
      <c r="B12" s="52"/>
      <c r="C12" s="53">
        <f>+C7-C9-C8</f>
        <v>125707.85344827586</v>
      </c>
      <c r="D12" s="54">
        <v>1</v>
      </c>
      <c r="E12" s="1"/>
      <c r="F12" s="36" t="s">
        <v>27</v>
      </c>
      <c r="G12" s="37">
        <v>300</v>
      </c>
      <c r="H12" s="44">
        <v>7672.23</v>
      </c>
      <c r="I12" s="39">
        <f t="shared" si="0"/>
        <v>25.574099999999998</v>
      </c>
      <c r="J12" s="40">
        <f t="shared" si="1"/>
        <v>6.1032225032438721E-2</v>
      </c>
      <c r="K12" s="41"/>
      <c r="L12" s="42"/>
    </row>
    <row r="13" spans="1:12" ht="15.75">
      <c r="A13" s="32" t="s">
        <v>28</v>
      </c>
      <c r="B13" s="33"/>
      <c r="C13" s="55">
        <f>+H19+H21</f>
        <v>3786.26</v>
      </c>
      <c r="D13" s="56">
        <f>+C13/C$12</f>
        <v>3.0119518360544648E-2</v>
      </c>
      <c r="E13" s="1"/>
      <c r="F13" s="36" t="s">
        <v>29</v>
      </c>
      <c r="G13" s="37">
        <v>82</v>
      </c>
      <c r="H13" s="44">
        <v>3817.3</v>
      </c>
      <c r="I13" s="39">
        <f t="shared" si="0"/>
        <v>46.552439024390246</v>
      </c>
      <c r="J13" s="40">
        <f t="shared" si="1"/>
        <v>3.0366440085389561E-2</v>
      </c>
      <c r="K13" s="41"/>
      <c r="L13" s="42"/>
    </row>
    <row r="14" spans="1:12" ht="15.75">
      <c r="A14" s="32" t="s">
        <v>30</v>
      </c>
      <c r="B14" s="33"/>
      <c r="C14" s="57">
        <f>+C12-C13-C15</f>
        <v>105324.14344827586</v>
      </c>
      <c r="D14" s="56">
        <f>+C14/C$12</f>
        <v>0.83784855567208349</v>
      </c>
      <c r="E14" s="1"/>
      <c r="F14" s="36" t="s">
        <v>31</v>
      </c>
      <c r="G14" s="37">
        <v>36</v>
      </c>
      <c r="H14" s="44">
        <v>1018.15</v>
      </c>
      <c r="I14" s="39">
        <f t="shared" si="0"/>
        <v>28.281944444444445</v>
      </c>
      <c r="J14" s="40">
        <f t="shared" si="1"/>
        <v>8.0993348631072694E-3</v>
      </c>
      <c r="K14" s="41"/>
      <c r="L14" s="42"/>
    </row>
    <row r="15" spans="1:12" ht="15.75">
      <c r="A15" s="32" t="s">
        <v>32</v>
      </c>
      <c r="B15" s="33"/>
      <c r="C15" s="55">
        <f>+H16</f>
        <v>16597.45</v>
      </c>
      <c r="D15" s="56">
        <f>+C15/C$12</f>
        <v>0.13203192596737195</v>
      </c>
      <c r="E15" s="1"/>
      <c r="F15" s="36" t="s">
        <v>33</v>
      </c>
      <c r="G15" s="37">
        <v>0</v>
      </c>
      <c r="H15" s="44">
        <v>0</v>
      </c>
      <c r="I15" s="39">
        <f t="shared" si="0"/>
        <v>0</v>
      </c>
      <c r="J15" s="40">
        <f t="shared" si="1"/>
        <v>0</v>
      </c>
      <c r="K15" s="41"/>
      <c r="L15" s="42"/>
    </row>
    <row r="16" spans="1:12" ht="15.75">
      <c r="A16" s="47" t="s">
        <v>34</v>
      </c>
      <c r="B16" s="48"/>
      <c r="C16" s="58"/>
      <c r="D16" s="59">
        <f>+C16/C$12</f>
        <v>0</v>
      </c>
      <c r="E16" s="1"/>
      <c r="F16" s="36" t="s">
        <v>35</v>
      </c>
      <c r="G16" s="37">
        <v>64</v>
      </c>
      <c r="H16" s="44">
        <v>16597.45</v>
      </c>
      <c r="I16" s="39">
        <f t="shared" si="0"/>
        <v>259.33515625000001</v>
      </c>
      <c r="J16" s="40">
        <f t="shared" si="1"/>
        <v>0.13203192596737195</v>
      </c>
      <c r="K16" s="41"/>
      <c r="L16" s="42"/>
    </row>
    <row r="17" spans="1:12" ht="15.75">
      <c r="A17" s="60" t="s">
        <v>36</v>
      </c>
      <c r="B17" s="61"/>
      <c r="C17" s="62">
        <v>123499</v>
      </c>
      <c r="D17" s="63">
        <f>((C$12-C17)/C17)</f>
        <v>1.7885597845131176E-2</v>
      </c>
      <c r="E17" s="1"/>
      <c r="F17" s="36" t="s">
        <v>37</v>
      </c>
      <c r="G17" s="37">
        <v>149</v>
      </c>
      <c r="H17" s="44">
        <v>2459.81</v>
      </c>
      <c r="I17" s="39">
        <f t="shared" si="0"/>
        <v>16.508791946308726</v>
      </c>
      <c r="J17" s="40">
        <f t="shared" si="1"/>
        <v>1.9567671649187147E-2</v>
      </c>
      <c r="K17" s="41"/>
      <c r="L17" s="42"/>
    </row>
    <row r="18" spans="1:12" ht="15.75">
      <c r="A18" s="47" t="s">
        <v>38</v>
      </c>
      <c r="B18" s="64"/>
      <c r="C18" s="65">
        <v>0</v>
      </c>
      <c r="D18" s="59" t="e">
        <f>((C$12-C18)/C18)</f>
        <v>#DIV/0!</v>
      </c>
      <c r="E18" s="1"/>
      <c r="F18" s="36" t="s">
        <v>39</v>
      </c>
      <c r="G18" s="37">
        <v>53</v>
      </c>
      <c r="H18" s="38">
        <v>1535.4</v>
      </c>
      <c r="I18" s="39">
        <f t="shared" si="0"/>
        <v>28.969811320754719</v>
      </c>
      <c r="J18" s="40">
        <f t="shared" si="1"/>
        <v>1.2214034031149538E-2</v>
      </c>
      <c r="K18" s="41"/>
      <c r="L18" s="42"/>
    </row>
    <row r="19" spans="1:12" ht="15.75">
      <c r="A19" s="25" t="s">
        <v>40</v>
      </c>
      <c r="B19" s="26"/>
      <c r="C19" s="66">
        <v>2143</v>
      </c>
      <c r="D19" s="28"/>
      <c r="E19" s="1"/>
      <c r="F19" s="36" t="s">
        <v>41</v>
      </c>
      <c r="G19" s="37">
        <v>54</v>
      </c>
      <c r="H19" s="44">
        <v>2449.92</v>
      </c>
      <c r="I19" s="39">
        <f t="shared" si="0"/>
        <v>45.36888888888889</v>
      </c>
      <c r="J19" s="40">
        <f t="shared" si="1"/>
        <v>1.9488997169202733E-2</v>
      </c>
      <c r="K19" s="41"/>
      <c r="L19" s="42"/>
    </row>
    <row r="20" spans="1:12" ht="15.75">
      <c r="A20" s="32" t="s">
        <v>42</v>
      </c>
      <c r="B20" s="33"/>
      <c r="C20" s="67">
        <v>1880</v>
      </c>
      <c r="D20" s="68">
        <f>((C$19-C20)/C20)</f>
        <v>0.13989361702127659</v>
      </c>
      <c r="E20" s="1"/>
      <c r="F20" s="36" t="s">
        <v>43</v>
      </c>
      <c r="G20" s="37">
        <v>10</v>
      </c>
      <c r="H20" s="44">
        <v>859.47</v>
      </c>
      <c r="I20" s="39">
        <f t="shared" si="0"/>
        <v>85.947000000000003</v>
      </c>
      <c r="J20" s="40">
        <f t="shared" si="1"/>
        <v>6.8370430042673522E-3</v>
      </c>
      <c r="K20" s="41"/>
      <c r="L20" s="42"/>
    </row>
    <row r="21" spans="1:12" ht="15.75">
      <c r="A21" s="32" t="s">
        <v>44</v>
      </c>
      <c r="B21" s="33"/>
      <c r="C21" s="67">
        <v>0</v>
      </c>
      <c r="D21" s="68" t="e">
        <f>((C$19-C21)/C21)</f>
        <v>#DIV/0!</v>
      </c>
      <c r="E21" s="1"/>
      <c r="F21" s="36" t="s">
        <v>45</v>
      </c>
      <c r="G21" s="37">
        <v>34</v>
      </c>
      <c r="H21" s="44">
        <v>1336.34</v>
      </c>
      <c r="I21" s="39">
        <f t="shared" si="0"/>
        <v>39.304117647058824</v>
      </c>
      <c r="J21" s="40">
        <f t="shared" si="1"/>
        <v>1.0630521191341911E-2</v>
      </c>
      <c r="K21" s="41"/>
      <c r="L21" s="42"/>
    </row>
    <row r="22" spans="1:12" ht="15.75">
      <c r="A22" s="51" t="s">
        <v>46</v>
      </c>
      <c r="B22" s="52"/>
      <c r="C22" s="53">
        <f>+C12/C19</f>
        <v>58.659754292242582</v>
      </c>
      <c r="D22" s="68"/>
      <c r="E22" s="1"/>
      <c r="F22" s="36" t="s">
        <v>47</v>
      </c>
      <c r="G22" s="37">
        <v>90</v>
      </c>
      <c r="H22" s="44">
        <v>2337.04</v>
      </c>
      <c r="I22" s="39">
        <f t="shared" si="0"/>
        <v>25.967111111111112</v>
      </c>
      <c r="J22" s="40">
        <f t="shared" si="1"/>
        <v>1.8591042133748674E-2</v>
      </c>
      <c r="K22" s="41"/>
      <c r="L22" s="42"/>
    </row>
    <row r="23" spans="1:12" ht="15.75">
      <c r="A23" s="32" t="s">
        <v>48</v>
      </c>
      <c r="B23" s="69"/>
      <c r="C23" s="70">
        <v>65</v>
      </c>
      <c r="D23" s="68">
        <f>((C$22-C23)/C23)</f>
        <v>-9.7542241657806436E-2</v>
      </c>
      <c r="E23" s="1"/>
      <c r="F23" s="36" t="s">
        <v>49</v>
      </c>
      <c r="G23" s="37">
        <v>0</v>
      </c>
      <c r="H23" s="44">
        <v>0</v>
      </c>
      <c r="I23" s="39">
        <f t="shared" si="0"/>
        <v>0</v>
      </c>
      <c r="J23" s="40">
        <f t="shared" si="1"/>
        <v>0</v>
      </c>
      <c r="K23" s="41"/>
      <c r="L23" s="42"/>
    </row>
    <row r="24" spans="1:12" ht="15.75">
      <c r="A24" s="71"/>
      <c r="B24" s="72"/>
      <c r="C24" s="73">
        <f>C22-C23</f>
        <v>-6.3402457077574184</v>
      </c>
      <c r="D24" s="68"/>
      <c r="E24" s="1"/>
      <c r="F24" s="36" t="s">
        <v>50</v>
      </c>
      <c r="G24" s="37">
        <v>129</v>
      </c>
      <c r="H24" s="44">
        <v>838.27</v>
      </c>
      <c r="I24" s="39">
        <f t="shared" si="0"/>
        <v>6.4982170542635656</v>
      </c>
      <c r="J24" s="40">
        <f>+H24/$C$12</f>
        <v>6.6683980117830674E-3</v>
      </c>
      <c r="K24" s="41"/>
      <c r="L24" s="42"/>
    </row>
    <row r="25" spans="1:12" ht="15.75">
      <c r="A25" s="74" t="s">
        <v>51</v>
      </c>
      <c r="B25" s="75"/>
      <c r="C25" s="76">
        <f>+H32</f>
        <v>60</v>
      </c>
      <c r="D25" s="77">
        <f>((C$22-C25)/C25)</f>
        <v>-2.233742846262364E-2</v>
      </c>
      <c r="E25" s="1" t="s">
        <v>52</v>
      </c>
      <c r="F25" s="36" t="s">
        <v>53</v>
      </c>
      <c r="G25" s="78">
        <v>101</v>
      </c>
      <c r="H25" s="44">
        <v>152.58000000000001</v>
      </c>
      <c r="I25" s="39">
        <f t="shared" si="0"/>
        <v>1.5106930693069309</v>
      </c>
      <c r="J25" s="40">
        <f t="shared" si="1"/>
        <v>1.213766648738307E-3</v>
      </c>
      <c r="K25" s="41"/>
      <c r="L25" s="42"/>
    </row>
    <row r="26" spans="1:12" ht="16.5" thickBot="1">
      <c r="A26" s="79" t="s">
        <v>54</v>
      </c>
      <c r="B26" s="80"/>
      <c r="C26" s="80"/>
      <c r="D26" s="81"/>
      <c r="E26" s="1"/>
      <c r="F26" s="82" t="s">
        <v>55</v>
      </c>
      <c r="G26" s="83">
        <v>342</v>
      </c>
      <c r="H26" s="84">
        <v>7225.63</v>
      </c>
      <c r="I26" s="85">
        <f>IF(G26&gt;0,(H26/G26),0)</f>
        <v>21.127573099415205</v>
      </c>
      <c r="J26" s="86">
        <f>+H26/$C$12</f>
        <v>5.7479543256802809E-2</v>
      </c>
      <c r="K26" s="87"/>
      <c r="L26" s="42"/>
    </row>
    <row r="27" spans="1:12" ht="15.75" thickBot="1">
      <c r="A27" s="88" t="s">
        <v>56</v>
      </c>
      <c r="B27" s="89"/>
      <c r="C27" s="90"/>
      <c r="D27" s="91"/>
      <c r="E27" s="1"/>
      <c r="F27" s="92" t="s">
        <v>57</v>
      </c>
      <c r="G27" s="93">
        <f>SUM(G8:G26)</f>
        <v>3998</v>
      </c>
      <c r="H27" s="94">
        <f>SUM(H8:H26)</f>
        <v>129301.31999999999</v>
      </c>
      <c r="I27" s="95">
        <f>+H27/G27</f>
        <v>32.341500750375182</v>
      </c>
      <c r="J27" s="96">
        <f>SUM(J8:J26)</f>
        <v>1.028585855641889</v>
      </c>
      <c r="K27" s="97"/>
      <c r="L27" s="3"/>
    </row>
    <row r="28" spans="1:12" ht="15.75" thickBot="1">
      <c r="A28" s="98" t="s">
        <v>58</v>
      </c>
      <c r="B28" s="99"/>
      <c r="C28" s="90">
        <v>50528.37</v>
      </c>
      <c r="D28" s="100"/>
      <c r="E28" s="1"/>
      <c r="F28" s="22" t="s">
        <v>59</v>
      </c>
      <c r="G28" s="23"/>
      <c r="H28" s="23"/>
      <c r="I28" s="23"/>
      <c r="J28" s="23"/>
      <c r="K28" s="24"/>
      <c r="L28" s="3"/>
    </row>
    <row r="29" spans="1:12">
      <c r="A29" s="98" t="s">
        <v>60</v>
      </c>
      <c r="B29" s="99"/>
      <c r="C29" s="101">
        <v>107.88</v>
      </c>
      <c r="D29" s="102"/>
      <c r="E29" s="1"/>
      <c r="F29" s="29"/>
      <c r="G29" s="30" t="s">
        <v>61</v>
      </c>
      <c r="H29" s="30" t="s">
        <v>62</v>
      </c>
      <c r="I29" s="30"/>
      <c r="J29" s="30" t="s">
        <v>63</v>
      </c>
      <c r="K29" s="30" t="s">
        <v>64</v>
      </c>
      <c r="L29" s="3"/>
    </row>
    <row r="30" spans="1:12" ht="15.75">
      <c r="A30" s="98" t="s">
        <v>60</v>
      </c>
      <c r="B30" s="99"/>
      <c r="C30" s="101">
        <v>143.84</v>
      </c>
      <c r="D30" s="102"/>
      <c r="E30" s="1"/>
      <c r="F30" s="103" t="s">
        <v>65</v>
      </c>
      <c r="G30" s="104">
        <f>+C12</f>
        <v>125707.85344827586</v>
      </c>
      <c r="H30" s="105">
        <v>100789.95</v>
      </c>
      <c r="I30" s="106" t="s">
        <v>66</v>
      </c>
      <c r="J30" s="107">
        <f t="shared" ref="J30:J37" si="2">((G30-H30)/H30)</f>
        <v>0.24722607212599926</v>
      </c>
      <c r="K30" s="108">
        <f t="shared" ref="K30:K37" si="3">+G30-H30</f>
        <v>24917.903448275858</v>
      </c>
      <c r="L30" s="3"/>
    </row>
    <row r="31" spans="1:12" ht="15.75">
      <c r="A31" s="98" t="s">
        <v>60</v>
      </c>
      <c r="B31" s="99"/>
      <c r="C31" s="101">
        <v>143.84</v>
      </c>
      <c r="D31" s="102"/>
      <c r="E31" s="1"/>
      <c r="F31" s="103" t="s">
        <v>67</v>
      </c>
      <c r="G31" s="109">
        <f>+C19</f>
        <v>2143</v>
      </c>
      <c r="H31" s="110">
        <f>+(C21*5%)+C21</f>
        <v>0</v>
      </c>
      <c r="I31" s="111" t="s">
        <v>68</v>
      </c>
      <c r="J31" s="107" t="e">
        <f t="shared" si="2"/>
        <v>#DIV/0!</v>
      </c>
      <c r="K31" s="112">
        <f t="shared" si="3"/>
        <v>2143</v>
      </c>
      <c r="L31" s="3"/>
    </row>
    <row r="32" spans="1:12" ht="15.75">
      <c r="A32" s="98" t="s">
        <v>60</v>
      </c>
      <c r="B32" s="99"/>
      <c r="C32" s="101"/>
      <c r="D32" s="102"/>
      <c r="E32" s="1"/>
      <c r="F32" s="103" t="s">
        <v>46</v>
      </c>
      <c r="G32" s="104">
        <f>+C22</f>
        <v>58.659754292242582</v>
      </c>
      <c r="H32" s="104">
        <v>60</v>
      </c>
      <c r="I32" s="113" t="s">
        <v>66</v>
      </c>
      <c r="J32" s="107">
        <f t="shared" si="2"/>
        <v>-2.233742846262364E-2</v>
      </c>
      <c r="K32" s="108">
        <f t="shared" si="3"/>
        <v>-1.3402457077574184</v>
      </c>
      <c r="L32" s="3"/>
    </row>
    <row r="33" spans="1:12" ht="15.75">
      <c r="A33" s="71" t="s">
        <v>69</v>
      </c>
      <c r="B33" s="99"/>
      <c r="C33" s="101"/>
      <c r="D33" s="102"/>
      <c r="E33" s="1"/>
      <c r="F33" s="103" t="s">
        <v>70</v>
      </c>
      <c r="G33" s="104">
        <f>+H16</f>
        <v>16597.45</v>
      </c>
      <c r="H33" s="104">
        <f>+G30*10%</f>
        <v>12570.785344827586</v>
      </c>
      <c r="I33" s="114" t="s">
        <v>71</v>
      </c>
      <c r="J33" s="107">
        <f t="shared" si="2"/>
        <v>0.32031925967371955</v>
      </c>
      <c r="K33" s="108">
        <f t="shared" si="3"/>
        <v>4026.6646551724152</v>
      </c>
      <c r="L33" s="3"/>
    </row>
    <row r="34" spans="1:12" ht="15.75">
      <c r="A34" s="71" t="s">
        <v>72</v>
      </c>
      <c r="B34" s="99"/>
      <c r="C34" s="101"/>
      <c r="D34" s="102"/>
      <c r="E34" s="1"/>
      <c r="F34" s="103" t="s">
        <v>73</v>
      </c>
      <c r="G34" s="104">
        <f>+H24</f>
        <v>838.27</v>
      </c>
      <c r="H34" s="104">
        <f>+G30*2%</f>
        <v>2514.1570689655173</v>
      </c>
      <c r="I34" s="114" t="s">
        <v>74</v>
      </c>
      <c r="J34" s="107">
        <f t="shared" si="2"/>
        <v>-0.66658009941084662</v>
      </c>
      <c r="K34" s="108">
        <f t="shared" si="3"/>
        <v>-1675.8870689655173</v>
      </c>
      <c r="L34" s="3"/>
    </row>
    <row r="35" spans="1:12" ht="15.75">
      <c r="A35" s="71" t="s">
        <v>72</v>
      </c>
      <c r="B35" s="115"/>
      <c r="C35" s="101"/>
      <c r="D35" s="102"/>
      <c r="E35" s="1"/>
      <c r="F35" s="103" t="s">
        <v>75</v>
      </c>
      <c r="G35" s="104">
        <f>+C52</f>
        <v>370.86</v>
      </c>
      <c r="H35" s="104">
        <f>+G30*0.2%</f>
        <v>251.41570689655171</v>
      </c>
      <c r="I35" s="116" t="s">
        <v>76</v>
      </c>
      <c r="J35" s="107">
        <f t="shared" si="2"/>
        <v>0.47508683756419096</v>
      </c>
      <c r="K35" s="108">
        <f t="shared" si="3"/>
        <v>119.4442931034483</v>
      </c>
      <c r="L35" s="3"/>
    </row>
    <row r="36" spans="1:12" ht="15.75">
      <c r="A36" s="71" t="s">
        <v>72</v>
      </c>
      <c r="B36" s="115"/>
      <c r="C36" s="101"/>
      <c r="D36" s="102"/>
      <c r="E36" s="1"/>
      <c r="F36" s="103" t="s">
        <v>77</v>
      </c>
      <c r="G36" s="104">
        <f>+C53</f>
        <v>0</v>
      </c>
      <c r="H36" s="104">
        <f>+G30*0.5%</f>
        <v>628.53926724137932</v>
      </c>
      <c r="I36" s="116" t="s">
        <v>78</v>
      </c>
      <c r="J36" s="107">
        <f t="shared" si="2"/>
        <v>-1</v>
      </c>
      <c r="K36" s="108">
        <f t="shared" si="3"/>
        <v>-628.53926724137932</v>
      </c>
      <c r="L36" s="3"/>
    </row>
    <row r="37" spans="1:12" ht="16.5" thickBot="1">
      <c r="A37" s="71" t="s">
        <v>72</v>
      </c>
      <c r="B37" s="99"/>
      <c r="C37" s="101"/>
      <c r="D37" s="102"/>
      <c r="E37" s="1"/>
      <c r="F37" s="103" t="s">
        <v>79</v>
      </c>
      <c r="G37" s="104">
        <f>+C45</f>
        <v>50923.929999999993</v>
      </c>
      <c r="H37" s="104">
        <f>+C12*34%</f>
        <v>42740.670172413797</v>
      </c>
      <c r="I37" s="117" t="s">
        <v>80</v>
      </c>
      <c r="J37" s="107">
        <f t="shared" si="2"/>
        <v>0.19146306771923141</v>
      </c>
      <c r="K37" s="108">
        <f t="shared" si="3"/>
        <v>8183.2598275861965</v>
      </c>
      <c r="L37" s="3"/>
    </row>
    <row r="38" spans="1:12" ht="15.75" thickBot="1">
      <c r="A38" s="71" t="s">
        <v>72</v>
      </c>
      <c r="B38" s="99"/>
      <c r="C38" s="101"/>
      <c r="D38" s="102"/>
      <c r="E38" s="1"/>
      <c r="F38" s="118"/>
      <c r="G38" s="119"/>
      <c r="H38" s="119"/>
      <c r="I38" s="119"/>
      <c r="J38" s="119"/>
      <c r="K38" s="120"/>
      <c r="L38" s="3"/>
    </row>
    <row r="39" spans="1:12" ht="15.75" thickBot="1">
      <c r="A39" s="121" t="s">
        <v>81</v>
      </c>
      <c r="B39" s="122"/>
      <c r="C39" s="101"/>
      <c r="D39" s="123"/>
      <c r="E39" s="1"/>
      <c r="F39" s="124" t="s">
        <v>82</v>
      </c>
      <c r="G39" s="125"/>
      <c r="H39" s="125"/>
      <c r="I39" s="125"/>
      <c r="J39" s="125"/>
      <c r="K39" s="126"/>
      <c r="L39" s="3"/>
    </row>
    <row r="40" spans="1:12">
      <c r="A40" s="121" t="s">
        <v>81</v>
      </c>
      <c r="B40" s="122"/>
      <c r="C40" s="101"/>
      <c r="D40" s="123"/>
      <c r="E40" s="1"/>
      <c r="F40" s="127" t="s">
        <v>83</v>
      </c>
      <c r="G40" s="127" t="s">
        <v>84</v>
      </c>
      <c r="H40" s="127" t="s">
        <v>85</v>
      </c>
      <c r="I40" s="127" t="s">
        <v>86</v>
      </c>
      <c r="J40" s="128" t="s">
        <v>87</v>
      </c>
      <c r="K40" s="127" t="s">
        <v>88</v>
      </c>
      <c r="L40" s="3"/>
    </row>
    <row r="41" spans="1:12">
      <c r="A41" s="121" t="s">
        <v>81</v>
      </c>
      <c r="B41" s="122"/>
      <c r="C41" s="101"/>
      <c r="D41" s="123"/>
      <c r="E41" s="1"/>
      <c r="F41" s="129" t="s">
        <v>89</v>
      </c>
      <c r="G41" s="130"/>
      <c r="H41" s="131"/>
      <c r="I41" s="131"/>
      <c r="J41" s="131"/>
      <c r="K41" s="130"/>
      <c r="L41" s="3"/>
    </row>
    <row r="42" spans="1:12">
      <c r="A42" s="121" t="s">
        <v>81</v>
      </c>
      <c r="B42" s="122"/>
      <c r="C42" s="101"/>
      <c r="D42" s="132"/>
      <c r="E42" s="1"/>
      <c r="F42" s="129" t="s">
        <v>90</v>
      </c>
      <c r="G42" s="131"/>
      <c r="H42" s="131"/>
      <c r="I42" s="131"/>
      <c r="J42" s="131"/>
      <c r="K42" s="131"/>
      <c r="L42" s="3"/>
    </row>
    <row r="43" spans="1:12" ht="15.75" thickBot="1">
      <c r="A43" s="60" t="s">
        <v>91</v>
      </c>
      <c r="B43" s="133"/>
      <c r="C43" s="134">
        <f>SUM(C28:C42)</f>
        <v>50923.929999999993</v>
      </c>
      <c r="D43" s="63"/>
      <c r="E43" s="1"/>
      <c r="F43" s="129" t="s">
        <v>92</v>
      </c>
      <c r="G43" s="130"/>
      <c r="H43" s="131"/>
      <c r="I43" s="131"/>
      <c r="J43" s="131"/>
      <c r="K43" s="130"/>
      <c r="L43" s="3"/>
    </row>
    <row r="44" spans="1:12" ht="15.75" thickBot="1">
      <c r="A44" s="88" t="s">
        <v>93</v>
      </c>
      <c r="B44" s="89"/>
      <c r="C44" s="90"/>
      <c r="D44" s="56"/>
      <c r="E44" s="1"/>
      <c r="F44" s="129" t="s">
        <v>94</v>
      </c>
      <c r="G44" s="135">
        <f>G41+G42-G43</f>
        <v>0</v>
      </c>
      <c r="H44" s="135">
        <f>H41+H42-H43</f>
        <v>0</v>
      </c>
      <c r="I44" s="135">
        <f>I41+I42-I43</f>
        <v>0</v>
      </c>
      <c r="J44" s="135">
        <f>J41+J42-J43</f>
        <v>0</v>
      </c>
      <c r="K44" s="135">
        <f>K41+K42-K43</f>
        <v>0</v>
      </c>
      <c r="L44" s="3"/>
    </row>
    <row r="45" spans="1:12" ht="15.75" thickBot="1">
      <c r="A45" s="136" t="s">
        <v>95</v>
      </c>
      <c r="B45" s="137"/>
      <c r="C45" s="138">
        <f>+(C27+C43)-C44</f>
        <v>50923.929999999993</v>
      </c>
      <c r="D45" s="139">
        <f>+C45/C$12</f>
        <v>0.40509744302453871</v>
      </c>
      <c r="E45" s="1"/>
      <c r="F45" s="129" t="s">
        <v>96</v>
      </c>
      <c r="G45" s="140"/>
      <c r="H45" s="140"/>
      <c r="I45" s="140"/>
      <c r="J45" s="140"/>
      <c r="K45" s="140"/>
      <c r="L45" s="3"/>
    </row>
    <row r="46" spans="1:12" ht="15.75" thickBot="1">
      <c r="A46" s="136"/>
      <c r="B46" s="137"/>
      <c r="C46" s="141"/>
      <c r="D46" s="142"/>
      <c r="E46" s="1"/>
      <c r="F46" s="143" t="s">
        <v>97</v>
      </c>
      <c r="G46" s="144">
        <f>G45+G48-G44-G49</f>
        <v>0</v>
      </c>
      <c r="H46" s="144">
        <f>H45+H48-H44-H49</f>
        <v>0</v>
      </c>
      <c r="I46" s="144">
        <f>I45+I48-I44-I49</f>
        <v>0</v>
      </c>
      <c r="J46" s="144">
        <f>J45+J48-J44-J49</f>
        <v>0</v>
      </c>
      <c r="K46" s="144">
        <f>K45+K48-K44-K49</f>
        <v>0</v>
      </c>
      <c r="L46" s="3"/>
    </row>
    <row r="47" spans="1:12">
      <c r="A47" s="32" t="s">
        <v>98</v>
      </c>
      <c r="B47" s="33"/>
      <c r="C47" s="145">
        <f>+C75+C76+C77+C78+C79+C80+C81</f>
        <v>45542.66</v>
      </c>
      <c r="D47" s="146">
        <f>+C47/C$12</f>
        <v>0.3622896959157697</v>
      </c>
      <c r="E47" s="1"/>
      <c r="F47" s="129" t="s">
        <v>99</v>
      </c>
      <c r="G47" s="147">
        <f>+G46*I10</f>
        <v>0</v>
      </c>
      <c r="H47" s="147">
        <f>+H46*$I$8</f>
        <v>0</v>
      </c>
      <c r="I47" s="147">
        <f>+I46*$I$8</f>
        <v>0</v>
      </c>
      <c r="J47" s="147">
        <f>+J46*$I$8</f>
        <v>0</v>
      </c>
      <c r="K47" s="147">
        <f>+K46*I16</f>
        <v>0</v>
      </c>
      <c r="L47" s="3"/>
    </row>
    <row r="48" spans="1:12">
      <c r="A48" s="47" t="s">
        <v>100</v>
      </c>
      <c r="B48" s="48"/>
      <c r="C48" s="148">
        <f>C45-C47</f>
        <v>5381.2699999999895</v>
      </c>
      <c r="D48" s="59">
        <f>D45-D47</f>
        <v>4.2807747108769001E-2</v>
      </c>
      <c r="E48" s="1"/>
      <c r="F48" s="149" t="s">
        <v>75</v>
      </c>
      <c r="G48" s="150"/>
      <c r="H48" s="150"/>
      <c r="I48" s="150"/>
      <c r="J48" s="150"/>
      <c r="K48" s="150"/>
      <c r="L48" s="3"/>
    </row>
    <row r="49" spans="1:12">
      <c r="A49" s="151"/>
      <c r="B49" s="151"/>
      <c r="C49" s="152"/>
      <c r="D49" s="153"/>
      <c r="E49" s="1"/>
      <c r="F49" s="149" t="s">
        <v>101</v>
      </c>
      <c r="G49" s="154"/>
      <c r="H49" s="154"/>
      <c r="I49" s="154"/>
      <c r="J49" s="154"/>
      <c r="K49" s="154"/>
      <c r="L49" s="3"/>
    </row>
    <row r="50" spans="1:12">
      <c r="A50" s="19" t="s">
        <v>102</v>
      </c>
      <c r="B50" s="155"/>
      <c r="C50" s="155"/>
      <c r="D50" s="20"/>
      <c r="E50" s="1"/>
      <c r="F50" s="19" t="s">
        <v>82</v>
      </c>
      <c r="G50" s="155"/>
      <c r="H50" s="155"/>
      <c r="I50" s="155"/>
      <c r="J50" s="155"/>
      <c r="K50" s="155"/>
      <c r="L50" s="3"/>
    </row>
    <row r="51" spans="1:12">
      <c r="A51" s="32" t="s">
        <v>103</v>
      </c>
      <c r="B51" s="69"/>
      <c r="C51" s="156">
        <f>(C45-C52-C53)</f>
        <v>50553.069999999992</v>
      </c>
      <c r="D51" s="56">
        <f>+C51/C$12</f>
        <v>0.40214726934941036</v>
      </c>
      <c r="E51" s="1"/>
      <c r="F51" s="149" t="s">
        <v>83</v>
      </c>
      <c r="G51" s="149" t="s">
        <v>104</v>
      </c>
      <c r="H51" s="149" t="s">
        <v>105</v>
      </c>
      <c r="I51" s="149" t="s">
        <v>106</v>
      </c>
      <c r="J51" s="149" t="s">
        <v>107</v>
      </c>
      <c r="K51" s="149" t="s">
        <v>108</v>
      </c>
      <c r="L51" s="3"/>
    </row>
    <row r="52" spans="1:12">
      <c r="A52" s="32" t="s">
        <v>109</v>
      </c>
      <c r="B52" s="69"/>
      <c r="C52" s="157">
        <v>370.86</v>
      </c>
      <c r="D52" s="56">
        <f>+C52/C$12</f>
        <v>2.950173675128382E-3</v>
      </c>
      <c r="E52" s="1"/>
      <c r="F52" s="129" t="s">
        <v>89</v>
      </c>
      <c r="G52" s="131"/>
      <c r="H52" s="131"/>
      <c r="I52" s="131"/>
      <c r="J52" s="131"/>
      <c r="K52" s="130"/>
      <c r="L52" s="3"/>
    </row>
    <row r="53" spans="1:12">
      <c r="A53" s="32" t="s">
        <v>77</v>
      </c>
      <c r="B53" s="69"/>
      <c r="C53" s="157"/>
      <c r="D53" s="56">
        <f>+C53/C$12</f>
        <v>0</v>
      </c>
      <c r="E53" s="1"/>
      <c r="F53" s="129" t="s">
        <v>90</v>
      </c>
      <c r="G53" s="131"/>
      <c r="H53" s="131"/>
      <c r="I53" s="131"/>
      <c r="J53" s="131"/>
      <c r="K53" s="131"/>
      <c r="L53" s="3"/>
    </row>
    <row r="54" spans="1:12" ht="15.75" thickBot="1">
      <c r="A54" s="158" t="s">
        <v>54</v>
      </c>
      <c r="B54" s="159"/>
      <c r="C54" s="160">
        <f>+C51+C52+C53</f>
        <v>50923.929999999993</v>
      </c>
      <c r="D54" s="161">
        <f>+C54/C$12</f>
        <v>0.40509744302453871</v>
      </c>
      <c r="E54" s="1"/>
      <c r="F54" s="129" t="s">
        <v>92</v>
      </c>
      <c r="G54" s="131"/>
      <c r="H54" s="131"/>
      <c r="I54" s="131"/>
      <c r="J54" s="131"/>
      <c r="K54" s="130"/>
      <c r="L54" s="3"/>
    </row>
    <row r="55" spans="1:12" ht="16.5" thickBot="1">
      <c r="A55" s="32" t="s">
        <v>110</v>
      </c>
      <c r="B55" s="69"/>
      <c r="C55" s="162"/>
      <c r="D55" s="56">
        <f>+C55/C12</f>
        <v>0</v>
      </c>
      <c r="E55" s="1"/>
      <c r="F55" s="129" t="s">
        <v>94</v>
      </c>
      <c r="G55" s="135">
        <f>G52+G53-G54</f>
        <v>0</v>
      </c>
      <c r="H55" s="135">
        <f>H52+H53-H54</f>
        <v>0</v>
      </c>
      <c r="I55" s="135">
        <f>I52+I53-I54</f>
        <v>0</v>
      </c>
      <c r="J55" s="135">
        <f>J52+J53-J54</f>
        <v>0</v>
      </c>
      <c r="K55" s="135">
        <f>K52+K53-K54</f>
        <v>0</v>
      </c>
      <c r="L55" s="3"/>
    </row>
    <row r="56" spans="1:12" ht="15.75" thickBot="1">
      <c r="A56" s="163" t="s">
        <v>111</v>
      </c>
      <c r="B56" s="164"/>
      <c r="C56" s="165">
        <f>+C12-((C12*6.85%)+C54+C55)</f>
        <v>66172.935487068971</v>
      </c>
      <c r="D56" s="50">
        <f>+C56/C12</f>
        <v>0.52640255697546134</v>
      </c>
      <c r="E56" s="1"/>
      <c r="F56" s="129" t="s">
        <v>96</v>
      </c>
      <c r="G56" s="140"/>
      <c r="H56" s="140"/>
      <c r="I56" s="140"/>
      <c r="J56" s="140"/>
      <c r="K56" s="140"/>
      <c r="L56" s="3"/>
    </row>
    <row r="57" spans="1:12" ht="15.75" thickBot="1">
      <c r="A57" s="19" t="s">
        <v>112</v>
      </c>
      <c r="B57" s="155"/>
      <c r="C57" s="155"/>
      <c r="D57" s="166"/>
      <c r="E57" s="1"/>
      <c r="F57" s="143" t="s">
        <v>97</v>
      </c>
      <c r="G57" s="144">
        <f>G56+G59-G55-G60</f>
        <v>0</v>
      </c>
      <c r="H57" s="144">
        <f>H56+H59-H55-H60</f>
        <v>0</v>
      </c>
      <c r="I57" s="144">
        <f>I56+I59-I55-I60</f>
        <v>0</v>
      </c>
      <c r="J57" s="144">
        <f>J56+J59-J55-J60</f>
        <v>0</v>
      </c>
      <c r="K57" s="144">
        <f>K56+K59-K55-K60</f>
        <v>0</v>
      </c>
      <c r="L57" s="3"/>
    </row>
    <row r="58" spans="1:12">
      <c r="A58" s="167" t="s">
        <v>113</v>
      </c>
      <c r="B58" s="168"/>
      <c r="C58" s="169">
        <v>30998.33</v>
      </c>
      <c r="D58" s="170">
        <f>+C58/$C$12</f>
        <v>0.24659024197525314</v>
      </c>
      <c r="E58" s="1"/>
      <c r="F58" s="129" t="s">
        <v>99</v>
      </c>
      <c r="G58" s="147">
        <f>+G57*I18</f>
        <v>0</v>
      </c>
      <c r="H58" s="147">
        <f>+H57*I13</f>
        <v>0</v>
      </c>
      <c r="I58" s="147">
        <f>+I57*I15</f>
        <v>0</v>
      </c>
      <c r="J58" s="147">
        <f>+J57*I11</f>
        <v>0</v>
      </c>
      <c r="K58" s="147">
        <f>+K57*I12</f>
        <v>0</v>
      </c>
      <c r="L58" s="3"/>
    </row>
    <row r="59" spans="1:12">
      <c r="A59" s="171" t="s">
        <v>114</v>
      </c>
      <c r="B59" s="172"/>
      <c r="C59" s="173">
        <v>8415.51</v>
      </c>
      <c r="D59" s="174">
        <f t="shared" ref="D59:D64" si="4">+C59/$C$12</f>
        <v>6.6944982108557538E-2</v>
      </c>
      <c r="E59" s="1"/>
      <c r="F59" s="149" t="s">
        <v>75</v>
      </c>
      <c r="G59" s="150"/>
      <c r="H59" s="150"/>
      <c r="I59" s="150"/>
      <c r="J59" s="150"/>
      <c r="K59" s="150"/>
      <c r="L59" s="3"/>
    </row>
    <row r="60" spans="1:12">
      <c r="A60" s="171" t="s">
        <v>115</v>
      </c>
      <c r="B60" s="172"/>
      <c r="C60" s="173">
        <v>16427.650000000001</v>
      </c>
      <c r="D60" s="174">
        <f t="shared" si="4"/>
        <v>0.13068117503700255</v>
      </c>
      <c r="E60" s="1"/>
      <c r="F60" s="149" t="s">
        <v>101</v>
      </c>
      <c r="G60" s="154"/>
      <c r="H60" s="154"/>
      <c r="I60" s="154"/>
      <c r="J60" s="154"/>
      <c r="K60" s="154"/>
      <c r="L60" s="3"/>
    </row>
    <row r="61" spans="1:12">
      <c r="A61" s="171" t="s">
        <v>116</v>
      </c>
      <c r="B61" s="172"/>
      <c r="C61" s="173">
        <v>11649.84</v>
      </c>
      <c r="D61" s="174">
        <f t="shared" si="4"/>
        <v>9.2673923549203549E-2</v>
      </c>
      <c r="E61" s="1"/>
      <c r="F61" s="175" t="s">
        <v>117</v>
      </c>
      <c r="G61" s="176"/>
      <c r="H61" s="176"/>
      <c r="I61" s="176"/>
      <c r="J61" s="176"/>
      <c r="K61" s="176"/>
      <c r="L61" s="3"/>
    </row>
    <row r="62" spans="1:12">
      <c r="A62" s="171" t="s">
        <v>118</v>
      </c>
      <c r="B62" s="172"/>
      <c r="C62" s="173">
        <v>17252.03</v>
      </c>
      <c r="D62" s="174">
        <f t="shared" si="4"/>
        <v>0.13723907875889849</v>
      </c>
      <c r="E62" s="1"/>
      <c r="F62" s="177" t="s">
        <v>119</v>
      </c>
      <c r="G62" s="178"/>
      <c r="H62" s="178"/>
      <c r="I62" s="178"/>
      <c r="J62" s="178"/>
      <c r="K62" s="178"/>
      <c r="L62" s="3"/>
    </row>
    <row r="63" spans="1:12">
      <c r="A63" s="171" t="s">
        <v>120</v>
      </c>
      <c r="B63" s="172"/>
      <c r="C63" s="173">
        <v>25395.54</v>
      </c>
      <c r="D63" s="174">
        <f t="shared" si="4"/>
        <v>0.20202031379407276</v>
      </c>
      <c r="E63" s="1"/>
      <c r="F63" s="179" t="s">
        <v>121</v>
      </c>
      <c r="G63" s="180"/>
      <c r="H63" s="181">
        <f t="shared" ref="H63:H80" si="5">+G63/$C$19</f>
        <v>0</v>
      </c>
      <c r="I63" s="182"/>
      <c r="J63" s="180"/>
      <c r="K63" s="181">
        <f t="shared" ref="K63:K80" si="6">+J63/$C$19</f>
        <v>0</v>
      </c>
      <c r="L63" s="3"/>
    </row>
    <row r="64" spans="1:12">
      <c r="A64" s="183" t="s">
        <v>122</v>
      </c>
      <c r="B64" s="184"/>
      <c r="C64" s="185">
        <v>15568.02</v>
      </c>
      <c r="D64" s="186">
        <f t="shared" si="4"/>
        <v>0.12384285924033908</v>
      </c>
      <c r="E64" s="1"/>
      <c r="F64" s="179" t="s">
        <v>123</v>
      </c>
      <c r="G64" s="187"/>
      <c r="H64" s="181">
        <f t="shared" si="5"/>
        <v>0</v>
      </c>
      <c r="I64" s="179"/>
      <c r="J64" s="180"/>
      <c r="K64" s="181">
        <f t="shared" si="6"/>
        <v>0</v>
      </c>
      <c r="L64" s="3"/>
    </row>
    <row r="65" spans="1:12">
      <c r="A65" s="1"/>
      <c r="B65" s="188">
        <f>+C12</f>
        <v>125707.85344827586</v>
      </c>
      <c r="C65" s="189"/>
      <c r="D65" s="190">
        <f>SUM(D58:D64)</f>
        <v>0.99999257446332712</v>
      </c>
      <c r="E65" s="1"/>
      <c r="F65" s="179" t="s">
        <v>124</v>
      </c>
      <c r="G65" s="187"/>
      <c r="H65" s="181">
        <f t="shared" si="5"/>
        <v>0</v>
      </c>
      <c r="I65" s="179"/>
      <c r="J65" s="180"/>
      <c r="K65" s="181">
        <f t="shared" si="6"/>
        <v>0</v>
      </c>
      <c r="L65" s="3"/>
    </row>
    <row r="66" spans="1:12">
      <c r="A66" s="19" t="s">
        <v>125</v>
      </c>
      <c r="B66" s="155"/>
      <c r="C66" s="155"/>
      <c r="D66" s="166"/>
      <c r="E66" s="1"/>
      <c r="F66" s="179" t="s">
        <v>126</v>
      </c>
      <c r="G66" s="187"/>
      <c r="H66" s="181">
        <f t="shared" si="5"/>
        <v>0</v>
      </c>
      <c r="I66" s="179"/>
      <c r="J66" s="180"/>
      <c r="K66" s="181">
        <f t="shared" si="6"/>
        <v>0</v>
      </c>
      <c r="L66" s="3"/>
    </row>
    <row r="67" spans="1:12">
      <c r="A67" s="167" t="s">
        <v>113</v>
      </c>
      <c r="B67" s="168"/>
      <c r="C67" s="191">
        <v>476</v>
      </c>
      <c r="D67" s="170">
        <f>+C67/$C$19</f>
        <v>0.2221185254316379</v>
      </c>
      <c r="E67" s="1"/>
      <c r="F67" s="179" t="s">
        <v>127</v>
      </c>
      <c r="G67" s="187"/>
      <c r="H67" s="181">
        <f t="shared" si="5"/>
        <v>0</v>
      </c>
      <c r="I67" s="179"/>
      <c r="J67" s="180"/>
      <c r="K67" s="181">
        <f t="shared" si="6"/>
        <v>0</v>
      </c>
      <c r="L67" s="3"/>
    </row>
    <row r="68" spans="1:12">
      <c r="A68" s="171" t="s">
        <v>114</v>
      </c>
      <c r="B68" s="172"/>
      <c r="C68" s="192">
        <v>159</v>
      </c>
      <c r="D68" s="174">
        <f t="shared" ref="D68:D73" si="7">+C68/$C$19</f>
        <v>7.4195053663089122E-2</v>
      </c>
      <c r="E68" s="1"/>
      <c r="F68" s="179" t="s">
        <v>128</v>
      </c>
      <c r="G68" s="187"/>
      <c r="H68" s="181">
        <f t="shared" si="5"/>
        <v>0</v>
      </c>
      <c r="I68" s="179"/>
      <c r="J68" s="180"/>
      <c r="K68" s="181">
        <f t="shared" si="6"/>
        <v>0</v>
      </c>
      <c r="L68" s="3"/>
    </row>
    <row r="69" spans="1:12">
      <c r="A69" s="171" t="s">
        <v>115</v>
      </c>
      <c r="B69" s="172"/>
      <c r="C69" s="192">
        <v>326</v>
      </c>
      <c r="D69" s="174">
        <f t="shared" si="7"/>
        <v>0.15212319178721417</v>
      </c>
      <c r="E69" s="1"/>
      <c r="F69" s="179" t="s">
        <v>129</v>
      </c>
      <c r="G69" s="187"/>
      <c r="H69" s="181">
        <f t="shared" si="5"/>
        <v>0</v>
      </c>
      <c r="I69" s="179"/>
      <c r="J69" s="180"/>
      <c r="K69" s="181">
        <f t="shared" si="6"/>
        <v>0</v>
      </c>
      <c r="L69" s="3"/>
    </row>
    <row r="70" spans="1:12">
      <c r="A70" s="171" t="s">
        <v>116</v>
      </c>
      <c r="B70" s="172"/>
      <c r="C70" s="192">
        <v>212</v>
      </c>
      <c r="D70" s="174">
        <f t="shared" si="7"/>
        <v>9.8926738217452168E-2</v>
      </c>
      <c r="E70" s="1"/>
      <c r="F70" s="179" t="s">
        <v>130</v>
      </c>
      <c r="G70" s="187"/>
      <c r="H70" s="181">
        <f t="shared" si="5"/>
        <v>0</v>
      </c>
      <c r="I70" s="193" t="s">
        <v>131</v>
      </c>
      <c r="J70" s="194"/>
      <c r="K70" s="195"/>
      <c r="L70" s="3"/>
    </row>
    <row r="71" spans="1:12">
      <c r="A71" s="171" t="s">
        <v>118</v>
      </c>
      <c r="B71" s="172"/>
      <c r="C71" s="192">
        <v>310</v>
      </c>
      <c r="D71" s="174">
        <f t="shared" si="7"/>
        <v>0.14465702286514232</v>
      </c>
      <c r="E71" s="1"/>
      <c r="F71" s="179" t="s">
        <v>132</v>
      </c>
      <c r="G71" s="180"/>
      <c r="H71" s="181">
        <f t="shared" si="5"/>
        <v>0</v>
      </c>
      <c r="I71" s="182" t="s">
        <v>133</v>
      </c>
      <c r="J71" s="187"/>
      <c r="K71" s="181">
        <f t="shared" si="6"/>
        <v>0</v>
      </c>
      <c r="L71" s="3"/>
    </row>
    <row r="72" spans="1:12">
      <c r="A72" s="171" t="s">
        <v>120</v>
      </c>
      <c r="B72" s="172"/>
      <c r="C72" s="192">
        <v>423</v>
      </c>
      <c r="D72" s="174">
        <f t="shared" si="7"/>
        <v>0.19738684087727484</v>
      </c>
      <c r="E72" s="1"/>
      <c r="F72" s="179" t="s">
        <v>134</v>
      </c>
      <c r="G72" s="180"/>
      <c r="H72" s="181">
        <f t="shared" si="5"/>
        <v>0</v>
      </c>
      <c r="I72" s="182"/>
      <c r="J72" s="187"/>
      <c r="K72" s="181">
        <f t="shared" si="6"/>
        <v>0</v>
      </c>
      <c r="L72" s="3"/>
    </row>
    <row r="73" spans="1:12">
      <c r="A73" s="183" t="s">
        <v>122</v>
      </c>
      <c r="B73" s="184"/>
      <c r="C73" s="196">
        <v>237</v>
      </c>
      <c r="D73" s="186">
        <f t="shared" si="7"/>
        <v>0.11059262715818946</v>
      </c>
      <c r="E73" s="1"/>
      <c r="F73" s="179" t="s">
        <v>135</v>
      </c>
      <c r="G73" s="180"/>
      <c r="H73" s="181">
        <f t="shared" si="5"/>
        <v>0</v>
      </c>
      <c r="I73" s="182"/>
      <c r="J73" s="187"/>
      <c r="K73" s="181">
        <f t="shared" si="6"/>
        <v>0</v>
      </c>
      <c r="L73" s="3"/>
    </row>
    <row r="74" spans="1:12">
      <c r="A74" s="19" t="s">
        <v>136</v>
      </c>
      <c r="B74" s="155"/>
      <c r="C74" s="155"/>
      <c r="D74" s="197"/>
      <c r="E74" s="1"/>
      <c r="F74" s="179" t="s">
        <v>137</v>
      </c>
      <c r="G74" s="180"/>
      <c r="H74" s="181">
        <f t="shared" si="5"/>
        <v>0</v>
      </c>
      <c r="I74" s="182"/>
      <c r="J74" s="187"/>
      <c r="K74" s="181">
        <f t="shared" si="6"/>
        <v>0</v>
      </c>
      <c r="L74" s="3"/>
    </row>
    <row r="75" spans="1:12">
      <c r="A75" s="167" t="s">
        <v>113</v>
      </c>
      <c r="B75" s="168"/>
      <c r="C75" s="169">
        <v>10856.73</v>
      </c>
      <c r="D75" s="170">
        <f>+C75/C58</f>
        <v>0.35023596432452969</v>
      </c>
      <c r="E75" s="1"/>
      <c r="F75" s="179" t="s">
        <v>138</v>
      </c>
      <c r="G75" s="180"/>
      <c r="H75" s="181">
        <f t="shared" si="5"/>
        <v>0</v>
      </c>
      <c r="I75" s="182"/>
      <c r="J75" s="187"/>
      <c r="K75" s="181">
        <f t="shared" si="6"/>
        <v>0</v>
      </c>
      <c r="L75" s="3"/>
    </row>
    <row r="76" spans="1:12">
      <c r="A76" s="171" t="s">
        <v>114</v>
      </c>
      <c r="B76" s="172"/>
      <c r="C76" s="173">
        <v>2968.37</v>
      </c>
      <c r="D76" s="174">
        <f t="shared" ref="D76:D81" si="8">+C76/C59</f>
        <v>0.35272609740823785</v>
      </c>
      <c r="E76" s="1"/>
      <c r="F76" s="179"/>
      <c r="G76" s="180"/>
      <c r="H76" s="181">
        <f t="shared" si="5"/>
        <v>0</v>
      </c>
      <c r="I76" s="179" t="s">
        <v>113</v>
      </c>
      <c r="J76" s="187"/>
      <c r="K76" s="181">
        <f t="shared" si="6"/>
        <v>0</v>
      </c>
      <c r="L76" s="3"/>
    </row>
    <row r="77" spans="1:12">
      <c r="A77" s="171" t="s">
        <v>115</v>
      </c>
      <c r="B77" s="172"/>
      <c r="C77" s="173">
        <v>7100</v>
      </c>
      <c r="D77" s="174">
        <f t="shared" si="8"/>
        <v>0.43219815372253484</v>
      </c>
      <c r="E77" s="1"/>
      <c r="F77" s="179"/>
      <c r="G77" s="180"/>
      <c r="H77" s="181">
        <f t="shared" si="5"/>
        <v>0</v>
      </c>
      <c r="I77" s="179" t="s">
        <v>114</v>
      </c>
      <c r="J77" s="187"/>
      <c r="K77" s="181">
        <f t="shared" si="6"/>
        <v>0</v>
      </c>
      <c r="L77" s="3"/>
    </row>
    <row r="78" spans="1:12">
      <c r="A78" s="171" t="s">
        <v>116</v>
      </c>
      <c r="B78" s="172"/>
      <c r="C78" s="173">
        <v>4016.08</v>
      </c>
      <c r="D78" s="174">
        <f t="shared" si="8"/>
        <v>0.3447326315211196</v>
      </c>
      <c r="E78" s="1"/>
      <c r="F78" s="179"/>
      <c r="G78" s="180"/>
      <c r="H78" s="181">
        <f t="shared" si="5"/>
        <v>0</v>
      </c>
      <c r="I78" s="179" t="s">
        <v>115</v>
      </c>
      <c r="J78" s="187"/>
      <c r="K78" s="181">
        <f t="shared" si="6"/>
        <v>0</v>
      </c>
      <c r="L78" s="3"/>
    </row>
    <row r="79" spans="1:12">
      <c r="A79" s="171" t="s">
        <v>118</v>
      </c>
      <c r="B79" s="172"/>
      <c r="C79" s="173">
        <v>6244.64</v>
      </c>
      <c r="D79" s="174">
        <f t="shared" si="8"/>
        <v>0.36196551942003352</v>
      </c>
      <c r="E79" s="198"/>
      <c r="F79" s="179"/>
      <c r="G79" s="180"/>
      <c r="H79" s="181">
        <f t="shared" si="5"/>
        <v>0</v>
      </c>
      <c r="I79" s="179" t="s">
        <v>139</v>
      </c>
      <c r="J79" s="187"/>
      <c r="K79" s="181">
        <f t="shared" si="6"/>
        <v>0</v>
      </c>
      <c r="L79" s="3"/>
    </row>
    <row r="80" spans="1:12">
      <c r="A80" s="171" t="s">
        <v>120</v>
      </c>
      <c r="B80" s="172"/>
      <c r="C80" s="173">
        <v>8813.7000000000007</v>
      </c>
      <c r="D80" s="174">
        <f t="shared" si="8"/>
        <v>0.34705700292256042</v>
      </c>
      <c r="E80" s="198"/>
      <c r="F80" s="179"/>
      <c r="G80" s="180"/>
      <c r="H80" s="181">
        <f t="shared" si="5"/>
        <v>0</v>
      </c>
      <c r="I80" s="179" t="s">
        <v>118</v>
      </c>
      <c r="J80" s="187"/>
      <c r="K80" s="181">
        <f t="shared" si="6"/>
        <v>0</v>
      </c>
      <c r="L80" s="3"/>
    </row>
    <row r="81" spans="1:12">
      <c r="A81" s="183" t="s">
        <v>122</v>
      </c>
      <c r="B81" s="184"/>
      <c r="C81" s="185">
        <v>5543.14</v>
      </c>
      <c r="D81" s="186">
        <f t="shared" si="8"/>
        <v>0.3560594089678713</v>
      </c>
      <c r="E81" s="198"/>
      <c r="F81" s="199" t="s">
        <v>140</v>
      </c>
      <c r="G81" s="200"/>
      <c r="H81" s="201"/>
      <c r="I81" s="202">
        <f>SUM(G63:G80,J63:J69)</f>
        <v>0</v>
      </c>
      <c r="J81" s="203">
        <f>+I81/C19</f>
        <v>0</v>
      </c>
      <c r="K81" s="204"/>
      <c r="L81" s="3"/>
    </row>
    <row r="82" spans="1:12">
      <c r="A82" s="205"/>
      <c r="B82" s="205"/>
      <c r="C82" s="206"/>
      <c r="D82" s="207"/>
      <c r="E82" s="208"/>
      <c r="F82" s="3"/>
      <c r="G82" s="3"/>
      <c r="H82" s="3"/>
      <c r="I82" s="3"/>
      <c r="J82" s="3"/>
      <c r="K82" s="3"/>
      <c r="L82" s="3"/>
    </row>
    <row r="83" spans="1:12">
      <c r="A83" s="205"/>
      <c r="B83" s="205"/>
      <c r="C83" s="206"/>
      <c r="D83" s="207"/>
      <c r="E83" s="208"/>
      <c r="F83" s="3"/>
      <c r="G83" s="3"/>
      <c r="H83" s="3"/>
      <c r="I83" s="3"/>
      <c r="J83" s="3"/>
      <c r="K83" s="3"/>
      <c r="L83" s="3"/>
    </row>
    <row r="84" spans="1:12">
      <c r="A84" s="205"/>
      <c r="B84" s="205"/>
      <c r="C84" s="206"/>
      <c r="D84" s="209"/>
      <c r="E84" s="208"/>
      <c r="F84" s="3"/>
      <c r="G84" s="3"/>
      <c r="H84" s="3"/>
      <c r="I84" s="3"/>
      <c r="J84" s="3"/>
      <c r="K84" s="3"/>
      <c r="L84" s="3"/>
    </row>
    <row r="85" spans="1:12">
      <c r="A85" s="210"/>
      <c r="B85" s="210"/>
      <c r="C85" s="211"/>
      <c r="D85" s="212"/>
      <c r="E85" s="208"/>
      <c r="F85" s="3"/>
      <c r="G85" s="3"/>
      <c r="H85" s="3"/>
      <c r="I85" s="3"/>
      <c r="J85" s="3"/>
      <c r="K85" s="3"/>
      <c r="L85" s="3"/>
    </row>
    <row r="86" spans="1:12">
      <c r="A86" s="213"/>
      <c r="B86" s="213"/>
      <c r="C86" s="213"/>
      <c r="D86" s="213"/>
      <c r="E86" s="208"/>
      <c r="F86" s="3"/>
      <c r="G86" s="3"/>
      <c r="H86" s="3"/>
      <c r="I86" s="3"/>
      <c r="J86" s="3"/>
      <c r="K86" s="3"/>
      <c r="L86" s="3"/>
    </row>
    <row r="87" spans="1:12">
      <c r="A87" s="214"/>
      <c r="B87" s="214"/>
      <c r="C87" s="215"/>
      <c r="D87" s="216"/>
      <c r="E87" s="208"/>
      <c r="F87" s="3"/>
      <c r="G87" s="3"/>
      <c r="H87" s="3"/>
      <c r="I87" s="3"/>
      <c r="J87" s="3"/>
      <c r="K87" s="3"/>
      <c r="L87" s="3"/>
    </row>
    <row r="88" spans="1:12">
      <c r="A88" s="214"/>
      <c r="B88" s="214"/>
      <c r="C88" s="217"/>
      <c r="D88" s="218"/>
      <c r="E88" s="3"/>
      <c r="F88" s="3"/>
      <c r="G88" s="3"/>
      <c r="H88" s="3"/>
      <c r="I88" s="3"/>
      <c r="J88" s="3"/>
      <c r="K88" s="3"/>
      <c r="L88" s="3"/>
    </row>
    <row r="89" spans="1:1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3"/>
      <c r="B90" s="3"/>
      <c r="C90" s="3"/>
      <c r="D90" s="3"/>
      <c r="E90" s="3"/>
      <c r="F90" s="3"/>
      <c r="G90" s="3"/>
      <c r="H90" s="3"/>
      <c r="I90" s="3"/>
      <c r="J90" s="3"/>
      <c r="K90" s="219"/>
      <c r="L90" s="3"/>
    </row>
    <row r="91" spans="1:1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3"/>
      <c r="B103" s="3"/>
      <c r="C103" s="3"/>
      <c r="D103" s="3"/>
      <c r="E103" s="3"/>
      <c r="F103" s="3"/>
      <c r="G103" s="3"/>
      <c r="H103" s="220"/>
      <c r="I103" s="3"/>
      <c r="J103" s="3"/>
      <c r="K103" s="3"/>
      <c r="L103" s="3"/>
    </row>
  </sheetData>
  <customSheetViews>
    <customSheetView guid="{2443864E-3EC0-42CB-9BCC-E86B96EC82D4}">
      <selection sqref="A1:L103"/>
      <pageMargins left="0.7" right="0.7" top="0.75" bottom="0.75" header="0.3" footer="0.3"/>
    </customSheetView>
  </customSheetViews>
  <mergeCells count="49">
    <mergeCell ref="F81:H81"/>
    <mergeCell ref="A57:D57"/>
    <mergeCell ref="F61:K61"/>
    <mergeCell ref="F62:K62"/>
    <mergeCell ref="A66:D66"/>
    <mergeCell ref="I70:K70"/>
    <mergeCell ref="A74:D74"/>
    <mergeCell ref="A51:B51"/>
    <mergeCell ref="A52:B52"/>
    <mergeCell ref="A53:B53"/>
    <mergeCell ref="A54:B54"/>
    <mergeCell ref="A55:B55"/>
    <mergeCell ref="A56:B56"/>
    <mergeCell ref="A46:B46"/>
    <mergeCell ref="A47:B47"/>
    <mergeCell ref="A48:B48"/>
    <mergeCell ref="A49:B49"/>
    <mergeCell ref="A50:D50"/>
    <mergeCell ref="F50:K50"/>
    <mergeCell ref="A27:B27"/>
    <mergeCell ref="F28:K28"/>
    <mergeCell ref="F39:K39"/>
    <mergeCell ref="A43:B43"/>
    <mergeCell ref="A44:B44"/>
    <mergeCell ref="A45:B45"/>
    <mergeCell ref="A19:B19"/>
    <mergeCell ref="A20:B20"/>
    <mergeCell ref="A21:B21"/>
    <mergeCell ref="A22:B22"/>
    <mergeCell ref="A23:B23"/>
    <mergeCell ref="A26:D2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B1:J1"/>
    <mergeCell ref="G2:H2"/>
    <mergeCell ref="G3:H3"/>
    <mergeCell ref="G4:H4"/>
    <mergeCell ref="A6:B6"/>
    <mergeCell ref="F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3"/>
  <sheetViews>
    <sheetView workbookViewId="0">
      <selection sqref="A1:L103"/>
    </sheetView>
  </sheetViews>
  <sheetFormatPr baseColWidth="10" defaultRowHeight="15"/>
  <sheetData>
    <row r="1" spans="1:12" ht="22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1"/>
      <c r="L1" s="3"/>
    </row>
    <row r="2" spans="1:12" ht="16.5">
      <c r="A2" s="4"/>
      <c r="B2" s="3"/>
      <c r="C2" s="5"/>
      <c r="D2" s="5"/>
      <c r="E2" s="5"/>
      <c r="F2" s="5" t="s">
        <v>2</v>
      </c>
      <c r="G2" s="6"/>
      <c r="H2" s="6"/>
      <c r="I2" s="5"/>
      <c r="J2" s="5"/>
      <c r="K2" s="4"/>
      <c r="L2" s="3"/>
    </row>
    <row r="3" spans="1:12">
      <c r="A3" s="7" t="s">
        <v>3</v>
      </c>
      <c r="B3" s="8"/>
      <c r="C3" s="9"/>
      <c r="D3" s="10"/>
      <c r="E3" s="10"/>
      <c r="F3" s="11" t="s">
        <v>4</v>
      </c>
      <c r="G3" s="12"/>
      <c r="H3" s="12"/>
      <c r="I3" s="13"/>
      <c r="J3" s="14"/>
      <c r="K3" s="14"/>
      <c r="L3" s="3"/>
    </row>
    <row r="4" spans="1:12">
      <c r="A4" s="7" t="s">
        <v>5</v>
      </c>
      <c r="B4" s="8"/>
      <c r="C4" s="9"/>
      <c r="D4" s="10"/>
      <c r="E4" s="10"/>
      <c r="F4" s="11" t="s">
        <v>6</v>
      </c>
      <c r="G4" s="15"/>
      <c r="H4" s="15"/>
      <c r="I4" s="13"/>
      <c r="J4" s="11" t="s">
        <v>7</v>
      </c>
      <c r="K4" s="16"/>
      <c r="L4" s="3"/>
    </row>
    <row r="5" spans="1:12" ht="15.75" thickBot="1">
      <c r="A5" s="17"/>
      <c r="B5" s="17"/>
      <c r="C5" s="17"/>
      <c r="D5" s="17"/>
      <c r="E5" s="17"/>
      <c r="F5" s="17"/>
      <c r="G5" s="17"/>
      <c r="H5" s="17"/>
      <c r="I5" s="18"/>
      <c r="J5" s="17"/>
      <c r="K5" s="17"/>
      <c r="L5" s="3"/>
    </row>
    <row r="6" spans="1:12">
      <c r="A6" s="19" t="s">
        <v>8</v>
      </c>
      <c r="B6" s="20"/>
      <c r="C6" s="21" t="s">
        <v>9</v>
      </c>
      <c r="D6" s="21" t="s">
        <v>10</v>
      </c>
      <c r="E6" s="1"/>
      <c r="F6" s="22" t="s">
        <v>11</v>
      </c>
      <c r="G6" s="23"/>
      <c r="H6" s="23"/>
      <c r="I6" s="23"/>
      <c r="J6" s="23"/>
      <c r="K6" s="24"/>
      <c r="L6" s="3"/>
    </row>
    <row r="7" spans="1:12">
      <c r="A7" s="25" t="s">
        <v>12</v>
      </c>
      <c r="B7" s="26"/>
      <c r="C7" s="27">
        <v>40863.64</v>
      </c>
      <c r="D7" s="28"/>
      <c r="E7" s="1"/>
      <c r="F7" s="29" t="s">
        <v>13</v>
      </c>
      <c r="G7" s="30" t="s">
        <v>14</v>
      </c>
      <c r="H7" s="30" t="s">
        <v>15</v>
      </c>
      <c r="I7" s="30" t="s">
        <v>16</v>
      </c>
      <c r="J7" s="30" t="s">
        <v>17</v>
      </c>
      <c r="K7" s="31"/>
      <c r="L7" s="3"/>
    </row>
    <row r="8" spans="1:12" ht="15.75">
      <c r="A8" s="32" t="s">
        <v>18</v>
      </c>
      <c r="B8" s="33"/>
      <c r="C8" s="34"/>
      <c r="D8" s="35">
        <f>+C8/C7</f>
        <v>0</v>
      </c>
      <c r="E8" s="1"/>
      <c r="F8" s="36" t="s">
        <v>19</v>
      </c>
      <c r="G8" s="37">
        <v>753</v>
      </c>
      <c r="H8" s="38">
        <v>21492.15</v>
      </c>
      <c r="I8" s="39">
        <f t="shared" ref="I8:I25" si="0">IF(G8&gt;0,(H8/G8),0)</f>
        <v>28.542031872509963</v>
      </c>
      <c r="J8" s="40">
        <f>+H8/$C$12</f>
        <v>0.61009968764407674</v>
      </c>
      <c r="K8" s="41"/>
      <c r="L8" s="42"/>
    </row>
    <row r="9" spans="1:12" ht="15.75">
      <c r="A9" s="32" t="s">
        <v>20</v>
      </c>
      <c r="B9" s="33"/>
      <c r="C9" s="43">
        <f>((C7/1.16)-C7)*-1</f>
        <v>5636.3641379310284</v>
      </c>
      <c r="D9" s="35"/>
      <c r="E9" s="1"/>
      <c r="F9" s="36" t="s">
        <v>21</v>
      </c>
      <c r="G9" s="37">
        <v>33</v>
      </c>
      <c r="H9" s="44">
        <v>1256.23</v>
      </c>
      <c r="I9" s="39">
        <f t="shared" si="0"/>
        <v>38.06757575757576</v>
      </c>
      <c r="J9" s="40">
        <f t="shared" ref="J9:J25" si="1">+H9/$C$12</f>
        <v>3.5660719407277469E-2</v>
      </c>
      <c r="K9" s="41"/>
      <c r="L9" s="42"/>
    </row>
    <row r="10" spans="1:12" ht="15.75">
      <c r="A10" s="32" t="s">
        <v>22</v>
      </c>
      <c r="B10" s="33"/>
      <c r="C10" s="45">
        <f>+C7-C11</f>
        <v>40863.64</v>
      </c>
      <c r="D10" s="46">
        <f>+C10/C7</f>
        <v>1</v>
      </c>
      <c r="E10" s="1"/>
      <c r="F10" s="36" t="s">
        <v>23</v>
      </c>
      <c r="G10" s="37">
        <v>17</v>
      </c>
      <c r="H10" s="44">
        <v>738.77</v>
      </c>
      <c r="I10" s="39">
        <f t="shared" si="0"/>
        <v>43.457058823529408</v>
      </c>
      <c r="J10" s="40">
        <f t="shared" si="1"/>
        <v>2.0971533617661076E-2</v>
      </c>
      <c r="K10" s="41"/>
      <c r="L10" s="42"/>
    </row>
    <row r="11" spans="1:12" ht="15.75">
      <c r="A11" s="47" t="s">
        <v>24</v>
      </c>
      <c r="B11" s="48"/>
      <c r="C11" s="49">
        <v>0</v>
      </c>
      <c r="D11" s="50">
        <f>+C11/C7</f>
        <v>0</v>
      </c>
      <c r="E11" s="1"/>
      <c r="F11" s="36" t="s">
        <v>25</v>
      </c>
      <c r="G11" s="37">
        <v>72</v>
      </c>
      <c r="H11" s="44">
        <v>1400.1</v>
      </c>
      <c r="I11" s="39">
        <f t="shared" si="0"/>
        <v>19.445833333333333</v>
      </c>
      <c r="J11" s="40">
        <f t="shared" si="1"/>
        <v>3.9744770656750097E-2</v>
      </c>
      <c r="K11" s="41"/>
      <c r="L11" s="42"/>
    </row>
    <row r="12" spans="1:12" ht="15.75">
      <c r="A12" s="51" t="s">
        <v>26</v>
      </c>
      <c r="B12" s="52"/>
      <c r="C12" s="53">
        <f>+C7-C9-C8</f>
        <v>35227.275862068971</v>
      </c>
      <c r="D12" s="54">
        <v>1</v>
      </c>
      <c r="E12" s="1"/>
      <c r="F12" s="36" t="s">
        <v>27</v>
      </c>
      <c r="G12" s="37">
        <v>61</v>
      </c>
      <c r="H12" s="44">
        <v>1379.14</v>
      </c>
      <c r="I12" s="39">
        <f t="shared" si="0"/>
        <v>22.608852459016394</v>
      </c>
      <c r="J12" s="40">
        <f t="shared" si="1"/>
        <v>3.9149777161310149E-2</v>
      </c>
      <c r="K12" s="41"/>
      <c r="L12" s="42"/>
    </row>
    <row r="13" spans="1:12" ht="15.75">
      <c r="A13" s="32" t="s">
        <v>28</v>
      </c>
      <c r="B13" s="33"/>
      <c r="C13" s="55">
        <f>+H19+H21</f>
        <v>682.74</v>
      </c>
      <c r="D13" s="56">
        <f>+C13/C$12</f>
        <v>1.9381004726940623E-2</v>
      </c>
      <c r="E13" s="1"/>
      <c r="F13" s="36" t="s">
        <v>29</v>
      </c>
      <c r="G13" s="37">
        <v>7</v>
      </c>
      <c r="H13" s="44">
        <v>337.92</v>
      </c>
      <c r="I13" s="39">
        <f t="shared" si="0"/>
        <v>48.274285714285718</v>
      </c>
      <c r="J13" s="40">
        <f t="shared" si="1"/>
        <v>9.5925668883144032E-3</v>
      </c>
      <c r="K13" s="41"/>
      <c r="L13" s="42"/>
    </row>
    <row r="14" spans="1:12" ht="15.75">
      <c r="A14" s="32" t="s">
        <v>30</v>
      </c>
      <c r="B14" s="33"/>
      <c r="C14" s="57">
        <f>+C12-C13-C15</f>
        <v>30020.385862068972</v>
      </c>
      <c r="D14" s="56">
        <f>+C14/C$12</f>
        <v>0.85219152283056532</v>
      </c>
      <c r="E14" s="1"/>
      <c r="F14" s="36" t="s">
        <v>31</v>
      </c>
      <c r="G14" s="37">
        <v>4</v>
      </c>
      <c r="H14" s="44">
        <v>110.35</v>
      </c>
      <c r="I14" s="39">
        <f t="shared" si="0"/>
        <v>27.587499999999999</v>
      </c>
      <c r="J14" s="40">
        <f t="shared" si="1"/>
        <v>3.1325158502766757E-3</v>
      </c>
      <c r="K14" s="41"/>
      <c r="L14" s="42"/>
    </row>
    <row r="15" spans="1:12" ht="15.75">
      <c r="A15" s="32" t="s">
        <v>32</v>
      </c>
      <c r="B15" s="33"/>
      <c r="C15" s="55">
        <f>+H16</f>
        <v>4524.1499999999996</v>
      </c>
      <c r="D15" s="56">
        <f>+C15/C$12</f>
        <v>0.12842747244249408</v>
      </c>
      <c r="E15" s="1"/>
      <c r="F15" s="36" t="s">
        <v>33</v>
      </c>
      <c r="G15" s="37">
        <v>0</v>
      </c>
      <c r="H15" s="44">
        <v>0</v>
      </c>
      <c r="I15" s="39">
        <f t="shared" si="0"/>
        <v>0</v>
      </c>
      <c r="J15" s="40">
        <f t="shared" si="1"/>
        <v>0</v>
      </c>
      <c r="K15" s="41"/>
      <c r="L15" s="42"/>
    </row>
    <row r="16" spans="1:12" ht="15.75">
      <c r="A16" s="47" t="s">
        <v>34</v>
      </c>
      <c r="B16" s="48"/>
      <c r="C16" s="58"/>
      <c r="D16" s="59">
        <f>+C16/C$12</f>
        <v>0</v>
      </c>
      <c r="E16" s="1"/>
      <c r="F16" s="36" t="s">
        <v>35</v>
      </c>
      <c r="G16" s="37">
        <v>17</v>
      </c>
      <c r="H16" s="44">
        <v>4524.1499999999996</v>
      </c>
      <c r="I16" s="39">
        <f t="shared" si="0"/>
        <v>266.12647058823529</v>
      </c>
      <c r="J16" s="40">
        <f t="shared" si="1"/>
        <v>0.12842747244249408</v>
      </c>
      <c r="K16" s="41"/>
      <c r="L16" s="42"/>
    </row>
    <row r="17" spans="1:12" ht="15.75">
      <c r="A17" s="60" t="s">
        <v>36</v>
      </c>
      <c r="B17" s="61"/>
      <c r="C17" s="62">
        <v>21226</v>
      </c>
      <c r="D17" s="63">
        <f>((C$12-C17)/C17)</f>
        <v>0.65962856223824418</v>
      </c>
      <c r="E17" s="1"/>
      <c r="F17" s="36" t="s">
        <v>37</v>
      </c>
      <c r="G17" s="37">
        <v>95</v>
      </c>
      <c r="H17" s="44">
        <v>1463.14</v>
      </c>
      <c r="I17" s="39">
        <f t="shared" si="0"/>
        <v>15.401473684210528</v>
      </c>
      <c r="J17" s="40">
        <f t="shared" si="1"/>
        <v>4.1534293078149667E-2</v>
      </c>
      <c r="K17" s="41"/>
      <c r="L17" s="42"/>
    </row>
    <row r="18" spans="1:12" ht="15.75">
      <c r="A18" s="47" t="s">
        <v>38</v>
      </c>
      <c r="B18" s="64"/>
      <c r="C18" s="65">
        <v>0</v>
      </c>
      <c r="D18" s="59" t="e">
        <f>((C$12-C18)/C18)</f>
        <v>#DIV/0!</v>
      </c>
      <c r="E18" s="1"/>
      <c r="F18" s="36" t="s">
        <v>39</v>
      </c>
      <c r="G18" s="37">
        <v>16</v>
      </c>
      <c r="H18" s="38">
        <v>417.25</v>
      </c>
      <c r="I18" s="39">
        <f t="shared" si="0"/>
        <v>26.078125</v>
      </c>
      <c r="J18" s="40">
        <f t="shared" si="1"/>
        <v>1.1844515075015341E-2</v>
      </c>
      <c r="K18" s="41"/>
      <c r="L18" s="42"/>
    </row>
    <row r="19" spans="1:12" ht="15.75">
      <c r="A19" s="25" t="s">
        <v>40</v>
      </c>
      <c r="B19" s="26"/>
      <c r="C19" s="66">
        <v>603</v>
      </c>
      <c r="D19" s="28"/>
      <c r="E19" s="1"/>
      <c r="F19" s="36" t="s">
        <v>41</v>
      </c>
      <c r="G19" s="37">
        <v>5</v>
      </c>
      <c r="H19" s="44">
        <v>253.44</v>
      </c>
      <c r="I19" s="39">
        <f t="shared" si="0"/>
        <v>50.688000000000002</v>
      </c>
      <c r="J19" s="40">
        <f t="shared" si="1"/>
        <v>7.194425166235802E-3</v>
      </c>
      <c r="K19" s="41"/>
      <c r="L19" s="42"/>
    </row>
    <row r="20" spans="1:12" ht="15.75">
      <c r="A20" s="32" t="s">
        <v>42</v>
      </c>
      <c r="B20" s="33"/>
      <c r="C20" s="67">
        <v>313</v>
      </c>
      <c r="D20" s="68">
        <f>((C$19-C20)/C20)</f>
        <v>0.92651757188498407</v>
      </c>
      <c r="E20" s="1"/>
      <c r="F20" s="36" t="s">
        <v>43</v>
      </c>
      <c r="G20" s="37">
        <v>1</v>
      </c>
      <c r="H20" s="44">
        <v>87.93</v>
      </c>
      <c r="I20" s="39">
        <f t="shared" si="0"/>
        <v>87.93</v>
      </c>
      <c r="J20" s="40">
        <f t="shared" si="1"/>
        <v>2.4960771972345093E-3</v>
      </c>
      <c r="K20" s="41"/>
      <c r="L20" s="42"/>
    </row>
    <row r="21" spans="1:12" ht="15.75">
      <c r="A21" s="32" t="s">
        <v>44</v>
      </c>
      <c r="B21" s="33"/>
      <c r="C21" s="67">
        <v>0</v>
      </c>
      <c r="D21" s="68" t="e">
        <f>((C$19-C21)/C21)</f>
        <v>#DIV/0!</v>
      </c>
      <c r="E21" s="1"/>
      <c r="F21" s="36" t="s">
        <v>45</v>
      </c>
      <c r="G21" s="37">
        <v>12</v>
      </c>
      <c r="H21" s="44">
        <v>429.3</v>
      </c>
      <c r="I21" s="39">
        <f t="shared" si="0"/>
        <v>35.774999999999999</v>
      </c>
      <c r="J21" s="40">
        <f t="shared" si="1"/>
        <v>1.2186579560704821E-2</v>
      </c>
      <c r="K21" s="41"/>
      <c r="L21" s="42"/>
    </row>
    <row r="22" spans="1:12" ht="15.75">
      <c r="A22" s="51" t="s">
        <v>46</v>
      </c>
      <c r="B22" s="52"/>
      <c r="C22" s="53">
        <f>+C12/C19</f>
        <v>58.420026305255341</v>
      </c>
      <c r="D22" s="68"/>
      <c r="E22" s="1"/>
      <c r="F22" s="36" t="s">
        <v>47</v>
      </c>
      <c r="G22" s="37">
        <v>42</v>
      </c>
      <c r="H22" s="44">
        <v>1051.7</v>
      </c>
      <c r="I22" s="39">
        <f t="shared" si="0"/>
        <v>25.040476190476191</v>
      </c>
      <c r="J22" s="40">
        <f t="shared" si="1"/>
        <v>2.9854707020715722E-2</v>
      </c>
      <c r="K22" s="41"/>
      <c r="L22" s="42"/>
    </row>
    <row r="23" spans="1:12" ht="15.75">
      <c r="A23" s="32" t="s">
        <v>48</v>
      </c>
      <c r="B23" s="69"/>
      <c r="C23" s="70">
        <v>67</v>
      </c>
      <c r="D23" s="68">
        <f>((C$22-C23)/C23)</f>
        <v>-0.12805930887678596</v>
      </c>
      <c r="E23" s="1"/>
      <c r="F23" s="36" t="s">
        <v>49</v>
      </c>
      <c r="G23" s="37">
        <v>0</v>
      </c>
      <c r="H23" s="44">
        <v>0</v>
      </c>
      <c r="I23" s="39">
        <f t="shared" si="0"/>
        <v>0</v>
      </c>
      <c r="J23" s="40">
        <f t="shared" si="1"/>
        <v>0</v>
      </c>
      <c r="K23" s="41"/>
      <c r="L23" s="42"/>
    </row>
    <row r="24" spans="1:12" ht="15.75">
      <c r="A24" s="71"/>
      <c r="B24" s="72"/>
      <c r="C24" s="73">
        <f>C22-C23</f>
        <v>-8.579973694744659</v>
      </c>
      <c r="D24" s="68"/>
      <c r="E24" s="1"/>
      <c r="F24" s="36" t="s">
        <v>50</v>
      </c>
      <c r="G24" s="37">
        <v>56</v>
      </c>
      <c r="H24" s="44">
        <v>385.97</v>
      </c>
      <c r="I24" s="39">
        <f t="shared" si="0"/>
        <v>6.8923214285714289</v>
      </c>
      <c r="J24" s="40">
        <f>+H24/$C$12</f>
        <v>1.0956566766935103E-2</v>
      </c>
      <c r="K24" s="41"/>
      <c r="L24" s="42"/>
    </row>
    <row r="25" spans="1:12" ht="15.75">
      <c r="A25" s="74" t="s">
        <v>51</v>
      </c>
      <c r="B25" s="75"/>
      <c r="C25" s="76">
        <f>+H32</f>
        <v>60</v>
      </c>
      <c r="D25" s="77">
        <f>((C$22-C25)/C25)</f>
        <v>-2.6332894912410983E-2</v>
      </c>
      <c r="E25" s="1" t="s">
        <v>52</v>
      </c>
      <c r="F25" s="36" t="s">
        <v>53</v>
      </c>
      <c r="G25" s="78">
        <v>94</v>
      </c>
      <c r="H25" s="44">
        <v>152.58000000000001</v>
      </c>
      <c r="I25" s="39">
        <f t="shared" si="0"/>
        <v>1.6231914893617023</v>
      </c>
      <c r="J25" s="40">
        <f t="shared" si="1"/>
        <v>4.3313028403734952E-3</v>
      </c>
      <c r="K25" s="41"/>
      <c r="L25" s="42"/>
    </row>
    <row r="26" spans="1:12" ht="16.5" thickBot="1">
      <c r="A26" s="79" t="s">
        <v>54</v>
      </c>
      <c r="B26" s="80"/>
      <c r="C26" s="80"/>
      <c r="D26" s="81"/>
      <c r="E26" s="1"/>
      <c r="F26" s="82" t="s">
        <v>55</v>
      </c>
      <c r="G26" s="83">
        <v>156</v>
      </c>
      <c r="H26" s="84">
        <v>3294.72</v>
      </c>
      <c r="I26" s="85">
        <f>IF(G26&gt;0,(H26/G26),0)</f>
        <v>21.119999999999997</v>
      </c>
      <c r="J26" s="86">
        <f>+H26/$C$12</f>
        <v>9.352752716106541E-2</v>
      </c>
      <c r="K26" s="87"/>
      <c r="L26" s="42"/>
    </row>
    <row r="27" spans="1:12" ht="15.75" thickBot="1">
      <c r="A27" s="88" t="s">
        <v>56</v>
      </c>
      <c r="B27" s="89"/>
      <c r="C27" s="90"/>
      <c r="D27" s="91"/>
      <c r="E27" s="1"/>
      <c r="F27" s="92" t="s">
        <v>57</v>
      </c>
      <c r="G27" s="93">
        <f>SUM(G8:G26)</f>
        <v>1441</v>
      </c>
      <c r="H27" s="94">
        <f>SUM(H8:H26)</f>
        <v>38774.840000000004</v>
      </c>
      <c r="I27" s="95">
        <f>+H27/G27</f>
        <v>26.908285912560725</v>
      </c>
      <c r="J27" s="96">
        <f>SUM(J8:J26)</f>
        <v>1.1007050375345906</v>
      </c>
      <c r="K27" s="97"/>
      <c r="L27" s="3"/>
    </row>
    <row r="28" spans="1:12" ht="15.75" thickBot="1">
      <c r="A28" s="98" t="s">
        <v>58</v>
      </c>
      <c r="B28" s="99"/>
      <c r="C28" s="90">
        <v>18171.61</v>
      </c>
      <c r="D28" s="100"/>
      <c r="E28" s="1"/>
      <c r="F28" s="22" t="s">
        <v>59</v>
      </c>
      <c r="G28" s="23"/>
      <c r="H28" s="23"/>
      <c r="I28" s="23"/>
      <c r="J28" s="23"/>
      <c r="K28" s="24"/>
      <c r="L28" s="3"/>
    </row>
    <row r="29" spans="1:12">
      <c r="A29" s="98" t="s">
        <v>60</v>
      </c>
      <c r="B29" s="99"/>
      <c r="C29" s="101"/>
      <c r="D29" s="102"/>
      <c r="E29" s="1"/>
      <c r="F29" s="29"/>
      <c r="G29" s="30" t="s">
        <v>61</v>
      </c>
      <c r="H29" s="30" t="s">
        <v>62</v>
      </c>
      <c r="I29" s="30"/>
      <c r="J29" s="30" t="s">
        <v>63</v>
      </c>
      <c r="K29" s="30" t="s">
        <v>64</v>
      </c>
      <c r="L29" s="3"/>
    </row>
    <row r="30" spans="1:12" ht="15.75">
      <c r="A30" s="98" t="s">
        <v>60</v>
      </c>
      <c r="B30" s="99"/>
      <c r="C30" s="101"/>
      <c r="D30" s="102"/>
      <c r="E30" s="1"/>
      <c r="F30" s="103" t="s">
        <v>65</v>
      </c>
      <c r="G30" s="104">
        <f>+C12</f>
        <v>35227.275862068971</v>
      </c>
      <c r="H30" s="105">
        <v>100789.95</v>
      </c>
      <c r="I30" s="106" t="s">
        <v>66</v>
      </c>
      <c r="J30" s="107">
        <f t="shared" ref="J30:J37" si="2">((G30-H30)/H30)</f>
        <v>-0.65048820976626165</v>
      </c>
      <c r="K30" s="108">
        <f t="shared" ref="K30:K37" si="3">+G30-H30</f>
        <v>-65562.674137931026</v>
      </c>
      <c r="L30" s="3"/>
    </row>
    <row r="31" spans="1:12" ht="15.75">
      <c r="A31" s="98" t="s">
        <v>60</v>
      </c>
      <c r="B31" s="99"/>
      <c r="C31" s="101"/>
      <c r="D31" s="102"/>
      <c r="E31" s="1"/>
      <c r="F31" s="103" t="s">
        <v>67</v>
      </c>
      <c r="G31" s="109">
        <f>+C19</f>
        <v>603</v>
      </c>
      <c r="H31" s="110">
        <f>+(C21*5%)+C21</f>
        <v>0</v>
      </c>
      <c r="I31" s="111" t="s">
        <v>68</v>
      </c>
      <c r="J31" s="107" t="e">
        <f t="shared" si="2"/>
        <v>#DIV/0!</v>
      </c>
      <c r="K31" s="112">
        <f t="shared" si="3"/>
        <v>603</v>
      </c>
      <c r="L31" s="3"/>
    </row>
    <row r="32" spans="1:12" ht="15.75">
      <c r="A32" s="98" t="s">
        <v>60</v>
      </c>
      <c r="B32" s="99"/>
      <c r="C32" s="101"/>
      <c r="D32" s="102"/>
      <c r="E32" s="1"/>
      <c r="F32" s="103" t="s">
        <v>46</v>
      </c>
      <c r="G32" s="104">
        <f>+C22</f>
        <v>58.420026305255341</v>
      </c>
      <c r="H32" s="104">
        <v>60</v>
      </c>
      <c r="I32" s="113" t="s">
        <v>66</v>
      </c>
      <c r="J32" s="107">
        <f t="shared" si="2"/>
        <v>-2.6332894912410983E-2</v>
      </c>
      <c r="K32" s="108">
        <f t="shared" si="3"/>
        <v>-1.579973694744659</v>
      </c>
      <c r="L32" s="3"/>
    </row>
    <row r="33" spans="1:12" ht="15.75">
      <c r="A33" s="71" t="s">
        <v>69</v>
      </c>
      <c r="B33" s="99"/>
      <c r="C33" s="101"/>
      <c r="D33" s="102"/>
      <c r="E33" s="1"/>
      <c r="F33" s="103" t="s">
        <v>70</v>
      </c>
      <c r="G33" s="104">
        <f>+H16</f>
        <v>4524.1499999999996</v>
      </c>
      <c r="H33" s="104">
        <f>+G30*10%</f>
        <v>3522.7275862068973</v>
      </c>
      <c r="I33" s="114" t="s">
        <v>71</v>
      </c>
      <c r="J33" s="107">
        <f t="shared" si="2"/>
        <v>0.28427472442494073</v>
      </c>
      <c r="K33" s="108">
        <f t="shared" si="3"/>
        <v>1001.4224137931024</v>
      </c>
      <c r="L33" s="3"/>
    </row>
    <row r="34" spans="1:12" ht="15.75">
      <c r="A34" s="71" t="s">
        <v>72</v>
      </c>
      <c r="B34" s="99"/>
      <c r="C34" s="101"/>
      <c r="D34" s="102"/>
      <c r="E34" s="1"/>
      <c r="F34" s="103" t="s">
        <v>73</v>
      </c>
      <c r="G34" s="104">
        <f>+H24</f>
        <v>385.97</v>
      </c>
      <c r="H34" s="104">
        <f>+G30*2%</f>
        <v>704.54551724137946</v>
      </c>
      <c r="I34" s="114" t="s">
        <v>74</v>
      </c>
      <c r="J34" s="107">
        <f t="shared" si="2"/>
        <v>-0.45217166165324485</v>
      </c>
      <c r="K34" s="108">
        <f t="shared" si="3"/>
        <v>-318.57551724137943</v>
      </c>
      <c r="L34" s="3"/>
    </row>
    <row r="35" spans="1:12" ht="15.75">
      <c r="A35" s="71" t="s">
        <v>72</v>
      </c>
      <c r="B35" s="115"/>
      <c r="C35" s="101"/>
      <c r="D35" s="102"/>
      <c r="E35" s="1"/>
      <c r="F35" s="103" t="s">
        <v>75</v>
      </c>
      <c r="G35" s="104">
        <f>+C52</f>
        <v>93.67</v>
      </c>
      <c r="H35" s="104">
        <f>+G30*0.2%</f>
        <v>70.454551724137943</v>
      </c>
      <c r="I35" s="116" t="s">
        <v>76</v>
      </c>
      <c r="J35" s="107">
        <f t="shared" si="2"/>
        <v>0.32950955910927149</v>
      </c>
      <c r="K35" s="108">
        <f t="shared" si="3"/>
        <v>23.215448275862059</v>
      </c>
      <c r="L35" s="3"/>
    </row>
    <row r="36" spans="1:12" ht="15.75">
      <c r="A36" s="71" t="s">
        <v>72</v>
      </c>
      <c r="B36" s="115"/>
      <c r="C36" s="101"/>
      <c r="D36" s="102"/>
      <c r="E36" s="1"/>
      <c r="F36" s="103" t="s">
        <v>77</v>
      </c>
      <c r="G36" s="104">
        <f>+C53</f>
        <v>0</v>
      </c>
      <c r="H36" s="104">
        <f>+G30*0.5%</f>
        <v>176.13637931034486</v>
      </c>
      <c r="I36" s="116" t="s">
        <v>78</v>
      </c>
      <c r="J36" s="107">
        <f t="shared" si="2"/>
        <v>-1</v>
      </c>
      <c r="K36" s="108">
        <f t="shared" si="3"/>
        <v>-176.13637931034486</v>
      </c>
      <c r="L36" s="3"/>
    </row>
    <row r="37" spans="1:12" ht="16.5" thickBot="1">
      <c r="A37" s="71" t="s">
        <v>72</v>
      </c>
      <c r="B37" s="99"/>
      <c r="C37" s="101"/>
      <c r="D37" s="102"/>
      <c r="E37" s="1"/>
      <c r="F37" s="103" t="s">
        <v>79</v>
      </c>
      <c r="G37" s="104">
        <f>+C45</f>
        <v>18171.61</v>
      </c>
      <c r="H37" s="104">
        <f>+C12*34%</f>
        <v>11977.273793103452</v>
      </c>
      <c r="I37" s="117" t="s">
        <v>80</v>
      </c>
      <c r="J37" s="107">
        <f t="shared" si="2"/>
        <v>0.51717413443978089</v>
      </c>
      <c r="K37" s="108">
        <f t="shared" si="3"/>
        <v>6194.3362068965489</v>
      </c>
      <c r="L37" s="3"/>
    </row>
    <row r="38" spans="1:12" ht="15.75" thickBot="1">
      <c r="A38" s="71" t="s">
        <v>72</v>
      </c>
      <c r="B38" s="99"/>
      <c r="C38" s="101"/>
      <c r="D38" s="102"/>
      <c r="E38" s="1"/>
      <c r="F38" s="118"/>
      <c r="G38" s="119"/>
      <c r="H38" s="119"/>
      <c r="I38" s="119"/>
      <c r="J38" s="119"/>
      <c r="K38" s="120"/>
      <c r="L38" s="3"/>
    </row>
    <row r="39" spans="1:12" ht="15.75" thickBot="1">
      <c r="A39" s="121" t="s">
        <v>81</v>
      </c>
      <c r="B39" s="122"/>
      <c r="C39" s="101"/>
      <c r="D39" s="123"/>
      <c r="E39" s="1"/>
      <c r="F39" s="124" t="s">
        <v>82</v>
      </c>
      <c r="G39" s="125"/>
      <c r="H39" s="125"/>
      <c r="I39" s="125"/>
      <c r="J39" s="125"/>
      <c r="K39" s="126"/>
      <c r="L39" s="3"/>
    </row>
    <row r="40" spans="1:12">
      <c r="A40" s="121" t="s">
        <v>81</v>
      </c>
      <c r="B40" s="122"/>
      <c r="C40" s="101"/>
      <c r="D40" s="123"/>
      <c r="E40" s="1"/>
      <c r="F40" s="127" t="s">
        <v>83</v>
      </c>
      <c r="G40" s="127" t="s">
        <v>84</v>
      </c>
      <c r="H40" s="127" t="s">
        <v>85</v>
      </c>
      <c r="I40" s="127" t="s">
        <v>86</v>
      </c>
      <c r="J40" s="128" t="s">
        <v>87</v>
      </c>
      <c r="K40" s="127" t="s">
        <v>88</v>
      </c>
      <c r="L40" s="3"/>
    </row>
    <row r="41" spans="1:12">
      <c r="A41" s="121" t="s">
        <v>81</v>
      </c>
      <c r="B41" s="122"/>
      <c r="C41" s="101"/>
      <c r="D41" s="123"/>
      <c r="E41" s="1"/>
      <c r="F41" s="129" t="s">
        <v>89</v>
      </c>
      <c r="G41" s="130"/>
      <c r="H41" s="131"/>
      <c r="I41" s="131"/>
      <c r="J41" s="131"/>
      <c r="K41" s="130"/>
      <c r="L41" s="3"/>
    </row>
    <row r="42" spans="1:12">
      <c r="A42" s="121" t="s">
        <v>81</v>
      </c>
      <c r="B42" s="122"/>
      <c r="C42" s="101"/>
      <c r="D42" s="132"/>
      <c r="E42" s="1"/>
      <c r="F42" s="129" t="s">
        <v>90</v>
      </c>
      <c r="G42" s="131"/>
      <c r="H42" s="131"/>
      <c r="I42" s="131"/>
      <c r="J42" s="131"/>
      <c r="K42" s="131"/>
      <c r="L42" s="3"/>
    </row>
    <row r="43" spans="1:12" ht="15.75" thickBot="1">
      <c r="A43" s="60" t="s">
        <v>91</v>
      </c>
      <c r="B43" s="133"/>
      <c r="C43" s="134">
        <f>SUM(C28:C42)</f>
        <v>18171.61</v>
      </c>
      <c r="D43" s="63"/>
      <c r="E43" s="1"/>
      <c r="F43" s="129" t="s">
        <v>92</v>
      </c>
      <c r="G43" s="130"/>
      <c r="H43" s="131"/>
      <c r="I43" s="131"/>
      <c r="J43" s="131"/>
      <c r="K43" s="130"/>
      <c r="L43" s="3"/>
    </row>
    <row r="44" spans="1:12" ht="15.75" thickBot="1">
      <c r="A44" s="88" t="s">
        <v>93</v>
      </c>
      <c r="B44" s="89"/>
      <c r="C44" s="90"/>
      <c r="D44" s="56"/>
      <c r="E44" s="1"/>
      <c r="F44" s="129" t="s">
        <v>94</v>
      </c>
      <c r="G44" s="135">
        <f>G41+G42-G43</f>
        <v>0</v>
      </c>
      <c r="H44" s="135">
        <f>H41+H42-H43</f>
        <v>0</v>
      </c>
      <c r="I44" s="135">
        <f>I41+I42-I43</f>
        <v>0</v>
      </c>
      <c r="J44" s="135">
        <f>J41+J42-J43</f>
        <v>0</v>
      </c>
      <c r="K44" s="135">
        <f>K41+K42-K43</f>
        <v>0</v>
      </c>
      <c r="L44" s="3"/>
    </row>
    <row r="45" spans="1:12" ht="15.75" thickBot="1">
      <c r="A45" s="136" t="s">
        <v>95</v>
      </c>
      <c r="B45" s="137"/>
      <c r="C45" s="138">
        <f>+(C27+C43)-C44</f>
        <v>18171.61</v>
      </c>
      <c r="D45" s="139">
        <f>+C45/C$12</f>
        <v>0.51583920570952557</v>
      </c>
      <c r="E45" s="1"/>
      <c r="F45" s="129" t="s">
        <v>96</v>
      </c>
      <c r="G45" s="140"/>
      <c r="H45" s="140"/>
      <c r="I45" s="140"/>
      <c r="J45" s="140"/>
      <c r="K45" s="140"/>
      <c r="L45" s="3"/>
    </row>
    <row r="46" spans="1:12" ht="15.75" thickBot="1">
      <c r="A46" s="136"/>
      <c r="B46" s="137"/>
      <c r="C46" s="141"/>
      <c r="D46" s="142"/>
      <c r="E46" s="1"/>
      <c r="F46" s="143" t="s">
        <v>97</v>
      </c>
      <c r="G46" s="144">
        <f>G45+G48-G44-G49</f>
        <v>0</v>
      </c>
      <c r="H46" s="144">
        <f>H45+H48-H44-H49</f>
        <v>0</v>
      </c>
      <c r="I46" s="144">
        <f>I45+I48-I44-I49</f>
        <v>0</v>
      </c>
      <c r="J46" s="144">
        <f>J45+J48-J44-J49</f>
        <v>0</v>
      </c>
      <c r="K46" s="144">
        <f>K45+K48-K44-K49</f>
        <v>0</v>
      </c>
      <c r="L46" s="3"/>
    </row>
    <row r="47" spans="1:12">
      <c r="A47" s="32" t="s">
        <v>98</v>
      </c>
      <c r="B47" s="33"/>
      <c r="C47" s="145">
        <f>+C75+C76+C77+C78+C79+C80+C81</f>
        <v>12910.67</v>
      </c>
      <c r="D47" s="146">
        <f>+C47/C$12</f>
        <v>0.36649640609598161</v>
      </c>
      <c r="E47" s="1"/>
      <c r="F47" s="129" t="s">
        <v>99</v>
      </c>
      <c r="G47" s="147">
        <f>+G46*I10</f>
        <v>0</v>
      </c>
      <c r="H47" s="147">
        <f>+H46*$I$8</f>
        <v>0</v>
      </c>
      <c r="I47" s="147">
        <f>+I46*$I$8</f>
        <v>0</v>
      </c>
      <c r="J47" s="147">
        <f>+J46*$I$8</f>
        <v>0</v>
      </c>
      <c r="K47" s="147">
        <f>+K46*I16</f>
        <v>0</v>
      </c>
      <c r="L47" s="3"/>
    </row>
    <row r="48" spans="1:12">
      <c r="A48" s="47" t="s">
        <v>100</v>
      </c>
      <c r="B48" s="48"/>
      <c r="C48" s="148">
        <f>C45-C47</f>
        <v>5260.9400000000005</v>
      </c>
      <c r="D48" s="59">
        <f>D45-D47</f>
        <v>0.14934279961354396</v>
      </c>
      <c r="E48" s="1"/>
      <c r="F48" s="149" t="s">
        <v>75</v>
      </c>
      <c r="G48" s="150"/>
      <c r="H48" s="150"/>
      <c r="I48" s="150"/>
      <c r="J48" s="150"/>
      <c r="K48" s="150"/>
      <c r="L48" s="3"/>
    </row>
    <row r="49" spans="1:12">
      <c r="A49" s="151"/>
      <c r="B49" s="151"/>
      <c r="C49" s="152"/>
      <c r="D49" s="153"/>
      <c r="E49" s="1"/>
      <c r="F49" s="149" t="s">
        <v>101</v>
      </c>
      <c r="G49" s="154"/>
      <c r="H49" s="154"/>
      <c r="I49" s="154"/>
      <c r="J49" s="154"/>
      <c r="K49" s="154"/>
      <c r="L49" s="3"/>
    </row>
    <row r="50" spans="1:12">
      <c r="A50" s="19" t="s">
        <v>102</v>
      </c>
      <c r="B50" s="155"/>
      <c r="C50" s="155"/>
      <c r="D50" s="20"/>
      <c r="E50" s="1"/>
      <c r="F50" s="19" t="s">
        <v>82</v>
      </c>
      <c r="G50" s="155"/>
      <c r="H50" s="155"/>
      <c r="I50" s="155"/>
      <c r="J50" s="155"/>
      <c r="K50" s="155"/>
      <c r="L50" s="3"/>
    </row>
    <row r="51" spans="1:12">
      <c r="A51" s="32" t="s">
        <v>103</v>
      </c>
      <c r="B51" s="69"/>
      <c r="C51" s="156">
        <f>(C45-C52-C53)</f>
        <v>18077.940000000002</v>
      </c>
      <c r="D51" s="56">
        <f>+C51/C$12</f>
        <v>0.51318018659130704</v>
      </c>
      <c r="E51" s="1"/>
      <c r="F51" s="149" t="s">
        <v>83</v>
      </c>
      <c r="G51" s="149" t="s">
        <v>104</v>
      </c>
      <c r="H51" s="149" t="s">
        <v>105</v>
      </c>
      <c r="I51" s="149" t="s">
        <v>106</v>
      </c>
      <c r="J51" s="149" t="s">
        <v>107</v>
      </c>
      <c r="K51" s="149" t="s">
        <v>108</v>
      </c>
      <c r="L51" s="3"/>
    </row>
    <row r="52" spans="1:12">
      <c r="A52" s="32" t="s">
        <v>109</v>
      </c>
      <c r="B52" s="69"/>
      <c r="C52" s="157">
        <v>93.67</v>
      </c>
      <c r="D52" s="56">
        <f>+C52/C$12</f>
        <v>2.6590191182185429E-3</v>
      </c>
      <c r="E52" s="1"/>
      <c r="F52" s="129" t="s">
        <v>89</v>
      </c>
      <c r="G52" s="131"/>
      <c r="H52" s="131"/>
      <c r="I52" s="131"/>
      <c r="J52" s="131"/>
      <c r="K52" s="130"/>
      <c r="L52" s="3"/>
    </row>
    <row r="53" spans="1:12">
      <c r="A53" s="32" t="s">
        <v>77</v>
      </c>
      <c r="B53" s="69"/>
      <c r="C53" s="157"/>
      <c r="D53" s="56">
        <f>+C53/C$12</f>
        <v>0</v>
      </c>
      <c r="E53" s="1"/>
      <c r="F53" s="129" t="s">
        <v>90</v>
      </c>
      <c r="G53" s="131"/>
      <c r="H53" s="131"/>
      <c r="I53" s="131"/>
      <c r="J53" s="131"/>
      <c r="K53" s="131"/>
      <c r="L53" s="3"/>
    </row>
    <row r="54" spans="1:12" ht="15.75" thickBot="1">
      <c r="A54" s="158" t="s">
        <v>54</v>
      </c>
      <c r="B54" s="159"/>
      <c r="C54" s="160">
        <f>+C51+C52+C53</f>
        <v>18171.61</v>
      </c>
      <c r="D54" s="161">
        <f>+C54/C$12</f>
        <v>0.51583920570952557</v>
      </c>
      <c r="E54" s="1"/>
      <c r="F54" s="129" t="s">
        <v>92</v>
      </c>
      <c r="G54" s="131"/>
      <c r="H54" s="131"/>
      <c r="I54" s="131"/>
      <c r="J54" s="131"/>
      <c r="K54" s="130"/>
      <c r="L54" s="3"/>
    </row>
    <row r="55" spans="1:12" ht="16.5" thickBot="1">
      <c r="A55" s="32" t="s">
        <v>110</v>
      </c>
      <c r="B55" s="69"/>
      <c r="C55" s="162"/>
      <c r="D55" s="56">
        <f>+C55/C12</f>
        <v>0</v>
      </c>
      <c r="E55" s="1"/>
      <c r="F55" s="129" t="s">
        <v>94</v>
      </c>
      <c r="G55" s="135">
        <f>G52+G53-G54</f>
        <v>0</v>
      </c>
      <c r="H55" s="135">
        <f>H52+H53-H54</f>
        <v>0</v>
      </c>
      <c r="I55" s="135">
        <f>I52+I53-I54</f>
        <v>0</v>
      </c>
      <c r="J55" s="135">
        <f>J52+J53-J54</f>
        <v>0</v>
      </c>
      <c r="K55" s="135">
        <f>K52+K53-K54</f>
        <v>0</v>
      </c>
      <c r="L55" s="3"/>
    </row>
    <row r="56" spans="1:12" ht="15.75" thickBot="1">
      <c r="A56" s="163" t="s">
        <v>111</v>
      </c>
      <c r="B56" s="164"/>
      <c r="C56" s="165">
        <f>+C12-((C12*6.85%)+C54+C55)</f>
        <v>14642.597465517247</v>
      </c>
      <c r="D56" s="50">
        <f>+C56/C12</f>
        <v>0.41566079429047448</v>
      </c>
      <c r="E56" s="1"/>
      <c r="F56" s="129" t="s">
        <v>96</v>
      </c>
      <c r="G56" s="140"/>
      <c r="H56" s="140"/>
      <c r="I56" s="140"/>
      <c r="J56" s="140"/>
      <c r="K56" s="140"/>
      <c r="L56" s="3"/>
    </row>
    <row r="57" spans="1:12" ht="15.75" thickBot="1">
      <c r="A57" s="19" t="s">
        <v>112</v>
      </c>
      <c r="B57" s="155"/>
      <c r="C57" s="155"/>
      <c r="D57" s="166"/>
      <c r="E57" s="1"/>
      <c r="F57" s="143" t="s">
        <v>97</v>
      </c>
      <c r="G57" s="144">
        <f>G56+G59-G55-G60</f>
        <v>0</v>
      </c>
      <c r="H57" s="144">
        <f>H56+H59-H55-H60</f>
        <v>0</v>
      </c>
      <c r="I57" s="144">
        <f>I56+I59-I55-I60</f>
        <v>0</v>
      </c>
      <c r="J57" s="144">
        <f>J56+J59-J55-J60</f>
        <v>0</v>
      </c>
      <c r="K57" s="144">
        <f>K56+K59-K55-K60</f>
        <v>0</v>
      </c>
      <c r="L57" s="3"/>
    </row>
    <row r="58" spans="1:12">
      <c r="A58" s="167" t="s">
        <v>113</v>
      </c>
      <c r="B58" s="168"/>
      <c r="C58" s="169">
        <v>5454.69</v>
      </c>
      <c r="D58" s="170">
        <f>+C58/$C$12</f>
        <v>0.15484279912411128</v>
      </c>
      <c r="E58" s="1"/>
      <c r="F58" s="129" t="s">
        <v>99</v>
      </c>
      <c r="G58" s="147">
        <f>+G57*I18</f>
        <v>0</v>
      </c>
      <c r="H58" s="147">
        <f>+H57*I13</f>
        <v>0</v>
      </c>
      <c r="I58" s="147">
        <f>+I57*I15</f>
        <v>0</v>
      </c>
      <c r="J58" s="147">
        <f>+J57*I11</f>
        <v>0</v>
      </c>
      <c r="K58" s="147">
        <f>+K57*I12</f>
        <v>0</v>
      </c>
      <c r="L58" s="3"/>
    </row>
    <row r="59" spans="1:12">
      <c r="A59" s="171" t="s">
        <v>114</v>
      </c>
      <c r="B59" s="172"/>
      <c r="C59" s="173">
        <v>1772.44</v>
      </c>
      <c r="D59" s="174">
        <f t="shared" ref="D59:D64" si="4">+C59/$C$12</f>
        <v>5.0314421329083744E-2</v>
      </c>
      <c r="E59" s="1"/>
      <c r="F59" s="149" t="s">
        <v>75</v>
      </c>
      <c r="G59" s="150"/>
      <c r="H59" s="150"/>
      <c r="I59" s="150"/>
      <c r="J59" s="150"/>
      <c r="K59" s="150"/>
      <c r="L59" s="3"/>
    </row>
    <row r="60" spans="1:12">
      <c r="A60" s="171" t="s">
        <v>115</v>
      </c>
      <c r="B60" s="172"/>
      <c r="C60" s="173">
        <v>5226.71</v>
      </c>
      <c r="D60" s="174">
        <f t="shared" si="4"/>
        <v>0.14837110937743184</v>
      </c>
      <c r="E60" s="1"/>
      <c r="F60" s="149" t="s">
        <v>101</v>
      </c>
      <c r="G60" s="154"/>
      <c r="H60" s="154"/>
      <c r="I60" s="154"/>
      <c r="J60" s="154"/>
      <c r="K60" s="154"/>
      <c r="L60" s="3"/>
    </row>
    <row r="61" spans="1:12">
      <c r="A61" s="171" t="s">
        <v>116</v>
      </c>
      <c r="B61" s="172"/>
      <c r="C61" s="173">
        <v>2894.72</v>
      </c>
      <c r="D61" s="174">
        <f t="shared" si="4"/>
        <v>8.2172689461829623E-2</v>
      </c>
      <c r="E61" s="1"/>
      <c r="F61" s="175" t="s">
        <v>117</v>
      </c>
      <c r="G61" s="176"/>
      <c r="H61" s="176"/>
      <c r="I61" s="176"/>
      <c r="J61" s="176"/>
      <c r="K61" s="176"/>
      <c r="L61" s="3"/>
    </row>
    <row r="62" spans="1:12">
      <c r="A62" s="171" t="s">
        <v>118</v>
      </c>
      <c r="B62" s="172"/>
      <c r="C62" s="173">
        <v>5101.24</v>
      </c>
      <c r="D62" s="174">
        <f t="shared" si="4"/>
        <v>0.14480938066212404</v>
      </c>
      <c r="E62" s="1"/>
      <c r="F62" s="177" t="s">
        <v>119</v>
      </c>
      <c r="G62" s="178"/>
      <c r="H62" s="178"/>
      <c r="I62" s="178"/>
      <c r="J62" s="178"/>
      <c r="K62" s="178"/>
      <c r="L62" s="3"/>
    </row>
    <row r="63" spans="1:12">
      <c r="A63" s="171" t="s">
        <v>120</v>
      </c>
      <c r="B63" s="172"/>
      <c r="C63" s="173">
        <v>7410.12</v>
      </c>
      <c r="D63" s="174">
        <f t="shared" si="4"/>
        <v>0.21035177482965292</v>
      </c>
      <c r="E63" s="1"/>
      <c r="F63" s="179" t="s">
        <v>121</v>
      </c>
      <c r="G63" s="180"/>
      <c r="H63" s="181">
        <f t="shared" ref="H63:H80" si="5">+G63/$C$19</f>
        <v>0</v>
      </c>
      <c r="I63" s="182"/>
      <c r="J63" s="180"/>
      <c r="K63" s="181">
        <f t="shared" ref="K63:K80" si="6">+J63/$C$19</f>
        <v>0</v>
      </c>
      <c r="L63" s="3"/>
    </row>
    <row r="64" spans="1:12">
      <c r="A64" s="183" t="s">
        <v>122</v>
      </c>
      <c r="B64" s="184"/>
      <c r="C64" s="185">
        <v>7367.18</v>
      </c>
      <c r="D64" s="186">
        <f t="shared" si="4"/>
        <v>0.20913283300263996</v>
      </c>
      <c r="E64" s="1"/>
      <c r="F64" s="179" t="s">
        <v>123</v>
      </c>
      <c r="G64" s="187"/>
      <c r="H64" s="181">
        <f t="shared" si="5"/>
        <v>0</v>
      </c>
      <c r="I64" s="179"/>
      <c r="J64" s="180"/>
      <c r="K64" s="181">
        <f t="shared" si="6"/>
        <v>0</v>
      </c>
      <c r="L64" s="3"/>
    </row>
    <row r="65" spans="1:12">
      <c r="A65" s="1"/>
      <c r="B65" s="188">
        <f>+C12</f>
        <v>35227.275862068971</v>
      </c>
      <c r="C65" s="189"/>
      <c r="D65" s="190">
        <f>SUM(D58:D64)</f>
        <v>0.99999500778687345</v>
      </c>
      <c r="E65" s="1"/>
      <c r="F65" s="179" t="s">
        <v>124</v>
      </c>
      <c r="G65" s="187"/>
      <c r="H65" s="181">
        <f t="shared" si="5"/>
        <v>0</v>
      </c>
      <c r="I65" s="179"/>
      <c r="J65" s="180"/>
      <c r="K65" s="181">
        <f t="shared" si="6"/>
        <v>0</v>
      </c>
      <c r="L65" s="3"/>
    </row>
    <row r="66" spans="1:12">
      <c r="A66" s="19" t="s">
        <v>125</v>
      </c>
      <c r="B66" s="155"/>
      <c r="C66" s="155"/>
      <c r="D66" s="166"/>
      <c r="E66" s="1"/>
      <c r="F66" s="179" t="s">
        <v>126</v>
      </c>
      <c r="G66" s="187"/>
      <c r="H66" s="181">
        <f t="shared" si="5"/>
        <v>0</v>
      </c>
      <c r="I66" s="179"/>
      <c r="J66" s="180"/>
      <c r="K66" s="181">
        <f t="shared" si="6"/>
        <v>0</v>
      </c>
      <c r="L66" s="3"/>
    </row>
    <row r="67" spans="1:12">
      <c r="A67" s="167" t="s">
        <v>113</v>
      </c>
      <c r="B67" s="168"/>
      <c r="C67" s="191">
        <v>95</v>
      </c>
      <c r="D67" s="170">
        <f>+C67/$C$19</f>
        <v>0.15754560530679934</v>
      </c>
      <c r="E67" s="1"/>
      <c r="F67" s="179" t="s">
        <v>127</v>
      </c>
      <c r="G67" s="187"/>
      <c r="H67" s="181">
        <f t="shared" si="5"/>
        <v>0</v>
      </c>
      <c r="I67" s="179"/>
      <c r="J67" s="180"/>
      <c r="K67" s="181">
        <f t="shared" si="6"/>
        <v>0</v>
      </c>
      <c r="L67" s="3"/>
    </row>
    <row r="68" spans="1:12">
      <c r="A68" s="171" t="s">
        <v>114</v>
      </c>
      <c r="B68" s="172"/>
      <c r="C68" s="192">
        <v>37</v>
      </c>
      <c r="D68" s="174">
        <f t="shared" ref="D68:D73" si="7">+C68/$C$19</f>
        <v>6.1359867330016582E-2</v>
      </c>
      <c r="E68" s="1"/>
      <c r="F68" s="179" t="s">
        <v>128</v>
      </c>
      <c r="G68" s="187"/>
      <c r="H68" s="181">
        <f t="shared" si="5"/>
        <v>0</v>
      </c>
      <c r="I68" s="179"/>
      <c r="J68" s="180"/>
      <c r="K68" s="181">
        <f t="shared" si="6"/>
        <v>0</v>
      </c>
      <c r="L68" s="3"/>
    </row>
    <row r="69" spans="1:12">
      <c r="A69" s="171" t="s">
        <v>115</v>
      </c>
      <c r="B69" s="172"/>
      <c r="C69" s="192">
        <v>105</v>
      </c>
      <c r="D69" s="174">
        <f t="shared" si="7"/>
        <v>0.17412935323383086</v>
      </c>
      <c r="E69" s="1"/>
      <c r="F69" s="179" t="s">
        <v>129</v>
      </c>
      <c r="G69" s="187"/>
      <c r="H69" s="181">
        <f t="shared" si="5"/>
        <v>0</v>
      </c>
      <c r="I69" s="179"/>
      <c r="J69" s="180"/>
      <c r="K69" s="181">
        <f t="shared" si="6"/>
        <v>0</v>
      </c>
      <c r="L69" s="3"/>
    </row>
    <row r="70" spans="1:12">
      <c r="A70" s="171" t="s">
        <v>116</v>
      </c>
      <c r="B70" s="172"/>
      <c r="C70" s="192">
        <v>56</v>
      </c>
      <c r="D70" s="174">
        <f t="shared" si="7"/>
        <v>9.2868988391376445E-2</v>
      </c>
      <c r="E70" s="1"/>
      <c r="F70" s="179" t="s">
        <v>130</v>
      </c>
      <c r="G70" s="187"/>
      <c r="H70" s="181">
        <f t="shared" si="5"/>
        <v>0</v>
      </c>
      <c r="I70" s="193" t="s">
        <v>131</v>
      </c>
      <c r="J70" s="194"/>
      <c r="K70" s="195"/>
      <c r="L70" s="3"/>
    </row>
    <row r="71" spans="1:12">
      <c r="A71" s="171" t="s">
        <v>118</v>
      </c>
      <c r="B71" s="172"/>
      <c r="C71" s="192">
        <v>92</v>
      </c>
      <c r="D71" s="174">
        <f t="shared" si="7"/>
        <v>0.15257048092868988</v>
      </c>
      <c r="E71" s="1"/>
      <c r="F71" s="179" t="s">
        <v>132</v>
      </c>
      <c r="G71" s="180"/>
      <c r="H71" s="181">
        <f t="shared" si="5"/>
        <v>0</v>
      </c>
      <c r="I71" s="182" t="s">
        <v>133</v>
      </c>
      <c r="J71" s="187"/>
      <c r="K71" s="181">
        <f t="shared" si="6"/>
        <v>0</v>
      </c>
      <c r="L71" s="3"/>
    </row>
    <row r="72" spans="1:12">
      <c r="A72" s="171" t="s">
        <v>120</v>
      </c>
      <c r="B72" s="172"/>
      <c r="C72" s="192">
        <v>112</v>
      </c>
      <c r="D72" s="174">
        <f t="shared" si="7"/>
        <v>0.18573797678275289</v>
      </c>
      <c r="E72" s="1"/>
      <c r="F72" s="179" t="s">
        <v>134</v>
      </c>
      <c r="G72" s="180"/>
      <c r="H72" s="181">
        <f t="shared" si="5"/>
        <v>0</v>
      </c>
      <c r="I72" s="182"/>
      <c r="J72" s="187"/>
      <c r="K72" s="181">
        <f t="shared" si="6"/>
        <v>0</v>
      </c>
      <c r="L72" s="3"/>
    </row>
    <row r="73" spans="1:12">
      <c r="A73" s="183" t="s">
        <v>122</v>
      </c>
      <c r="B73" s="184"/>
      <c r="C73" s="196">
        <v>106</v>
      </c>
      <c r="D73" s="186">
        <f t="shared" si="7"/>
        <v>0.175787728026534</v>
      </c>
      <c r="E73" s="1"/>
      <c r="F73" s="179" t="s">
        <v>135</v>
      </c>
      <c r="G73" s="180"/>
      <c r="H73" s="181">
        <f t="shared" si="5"/>
        <v>0</v>
      </c>
      <c r="I73" s="182"/>
      <c r="J73" s="187"/>
      <c r="K73" s="181">
        <f t="shared" si="6"/>
        <v>0</v>
      </c>
      <c r="L73" s="3"/>
    </row>
    <row r="74" spans="1:12">
      <c r="A74" s="19" t="s">
        <v>136</v>
      </c>
      <c r="B74" s="155"/>
      <c r="C74" s="155"/>
      <c r="D74" s="197"/>
      <c r="E74" s="1"/>
      <c r="F74" s="179" t="s">
        <v>137</v>
      </c>
      <c r="G74" s="180"/>
      <c r="H74" s="181">
        <f t="shared" si="5"/>
        <v>0</v>
      </c>
      <c r="I74" s="182"/>
      <c r="J74" s="187"/>
      <c r="K74" s="181">
        <f t="shared" si="6"/>
        <v>0</v>
      </c>
      <c r="L74" s="3"/>
    </row>
    <row r="75" spans="1:12">
      <c r="A75" s="167" t="s">
        <v>113</v>
      </c>
      <c r="B75" s="168"/>
      <c r="C75" s="169">
        <v>1832.1</v>
      </c>
      <c r="D75" s="170">
        <f>+C75/C58</f>
        <v>0.33587609928336898</v>
      </c>
      <c r="E75" s="1"/>
      <c r="F75" s="179" t="s">
        <v>138</v>
      </c>
      <c r="G75" s="180"/>
      <c r="H75" s="181">
        <f t="shared" si="5"/>
        <v>0</v>
      </c>
      <c r="I75" s="182"/>
      <c r="J75" s="187"/>
      <c r="K75" s="181">
        <f t="shared" si="6"/>
        <v>0</v>
      </c>
      <c r="L75" s="3"/>
    </row>
    <row r="76" spans="1:12">
      <c r="A76" s="171" t="s">
        <v>114</v>
      </c>
      <c r="B76" s="172"/>
      <c r="C76" s="173">
        <v>590.88</v>
      </c>
      <c r="D76" s="174">
        <f t="shared" ref="D76:D81" si="8">+C76/C59</f>
        <v>0.33337094626616415</v>
      </c>
      <c r="E76" s="1"/>
      <c r="F76" s="179"/>
      <c r="G76" s="180"/>
      <c r="H76" s="181">
        <f t="shared" si="5"/>
        <v>0</v>
      </c>
      <c r="I76" s="179" t="s">
        <v>113</v>
      </c>
      <c r="J76" s="187"/>
      <c r="K76" s="181">
        <f t="shared" si="6"/>
        <v>0</v>
      </c>
      <c r="L76" s="3"/>
    </row>
    <row r="77" spans="1:12">
      <c r="A77" s="171" t="s">
        <v>115</v>
      </c>
      <c r="B77" s="172"/>
      <c r="C77" s="173">
        <v>2542.79</v>
      </c>
      <c r="D77" s="174">
        <f t="shared" si="8"/>
        <v>0.48649915530037058</v>
      </c>
      <c r="E77" s="1"/>
      <c r="F77" s="179"/>
      <c r="G77" s="180"/>
      <c r="H77" s="181">
        <f t="shared" si="5"/>
        <v>0</v>
      </c>
      <c r="I77" s="179" t="s">
        <v>114</v>
      </c>
      <c r="J77" s="187"/>
      <c r="K77" s="181">
        <f t="shared" si="6"/>
        <v>0</v>
      </c>
      <c r="L77" s="3"/>
    </row>
    <row r="78" spans="1:12">
      <c r="A78" s="171" t="s">
        <v>116</v>
      </c>
      <c r="B78" s="172"/>
      <c r="C78" s="173">
        <v>1075.6199999999999</v>
      </c>
      <c r="D78" s="174">
        <f t="shared" si="8"/>
        <v>0.3715799801017024</v>
      </c>
      <c r="E78" s="1"/>
      <c r="F78" s="179"/>
      <c r="G78" s="180"/>
      <c r="H78" s="181">
        <f t="shared" si="5"/>
        <v>0</v>
      </c>
      <c r="I78" s="179" t="s">
        <v>115</v>
      </c>
      <c r="J78" s="187"/>
      <c r="K78" s="181">
        <f t="shared" si="6"/>
        <v>0</v>
      </c>
      <c r="L78" s="3"/>
    </row>
    <row r="79" spans="1:12">
      <c r="A79" s="171" t="s">
        <v>118</v>
      </c>
      <c r="B79" s="172"/>
      <c r="C79" s="173">
        <v>1829.82</v>
      </c>
      <c r="D79" s="174">
        <f t="shared" si="8"/>
        <v>0.35870102171236795</v>
      </c>
      <c r="E79" s="198"/>
      <c r="F79" s="179"/>
      <c r="G79" s="180"/>
      <c r="H79" s="181">
        <f t="shared" si="5"/>
        <v>0</v>
      </c>
      <c r="I79" s="179" t="s">
        <v>139</v>
      </c>
      <c r="J79" s="187"/>
      <c r="K79" s="181">
        <f t="shared" si="6"/>
        <v>0</v>
      </c>
      <c r="L79" s="3"/>
    </row>
    <row r="80" spans="1:12">
      <c r="A80" s="171" t="s">
        <v>120</v>
      </c>
      <c r="B80" s="172"/>
      <c r="C80" s="173">
        <v>2552.39</v>
      </c>
      <c r="D80" s="174">
        <f t="shared" si="8"/>
        <v>0.34444651368668794</v>
      </c>
      <c r="E80" s="198"/>
      <c r="F80" s="179"/>
      <c r="G80" s="180"/>
      <c r="H80" s="181">
        <f t="shared" si="5"/>
        <v>0</v>
      </c>
      <c r="I80" s="179" t="s">
        <v>118</v>
      </c>
      <c r="J80" s="187"/>
      <c r="K80" s="181">
        <f t="shared" si="6"/>
        <v>0</v>
      </c>
      <c r="L80" s="3"/>
    </row>
    <row r="81" spans="1:12">
      <c r="A81" s="183" t="s">
        <v>122</v>
      </c>
      <c r="B81" s="184"/>
      <c r="C81" s="185">
        <v>2487.0700000000002</v>
      </c>
      <c r="D81" s="186">
        <f t="shared" si="8"/>
        <v>0.33758778800029321</v>
      </c>
      <c r="E81" s="198"/>
      <c r="F81" s="199" t="s">
        <v>140</v>
      </c>
      <c r="G81" s="200"/>
      <c r="H81" s="201"/>
      <c r="I81" s="202">
        <f>SUM(G63:G80,J63:J69)</f>
        <v>0</v>
      </c>
      <c r="J81" s="203">
        <f>+I81/C19</f>
        <v>0</v>
      </c>
      <c r="K81" s="204"/>
      <c r="L81" s="3"/>
    </row>
    <row r="82" spans="1:12">
      <c r="A82" s="205"/>
      <c r="B82" s="205"/>
      <c r="C82" s="206"/>
      <c r="D82" s="207"/>
      <c r="E82" s="208"/>
      <c r="F82" s="3"/>
      <c r="G82" s="3"/>
      <c r="H82" s="3"/>
      <c r="I82" s="3"/>
      <c r="J82" s="3"/>
      <c r="K82" s="3"/>
      <c r="L82" s="3"/>
    </row>
    <row r="83" spans="1:12">
      <c r="A83" s="205"/>
      <c r="B83" s="205"/>
      <c r="C83" s="206"/>
      <c r="D83" s="207"/>
      <c r="E83" s="208"/>
      <c r="F83" s="3"/>
      <c r="G83" s="3"/>
      <c r="H83" s="3"/>
      <c r="I83" s="3"/>
      <c r="J83" s="3"/>
      <c r="K83" s="3"/>
      <c r="L83" s="3"/>
    </row>
    <row r="84" spans="1:12">
      <c r="A84" s="205"/>
      <c r="B84" s="205"/>
      <c r="C84" s="206"/>
      <c r="D84" s="209"/>
      <c r="E84" s="208"/>
      <c r="F84" s="3"/>
      <c r="G84" s="3"/>
      <c r="H84" s="3"/>
      <c r="I84" s="3"/>
      <c r="J84" s="3"/>
      <c r="K84" s="3"/>
      <c r="L84" s="3"/>
    </row>
    <row r="85" spans="1:12">
      <c r="A85" s="210"/>
      <c r="B85" s="210"/>
      <c r="C85" s="211"/>
      <c r="D85" s="212"/>
      <c r="E85" s="208"/>
      <c r="F85" s="3"/>
      <c r="G85" s="3"/>
      <c r="H85" s="3"/>
      <c r="I85" s="3"/>
      <c r="J85" s="3"/>
      <c r="K85" s="3"/>
      <c r="L85" s="3"/>
    </row>
    <row r="86" spans="1:12">
      <c r="A86" s="213"/>
      <c r="B86" s="213"/>
      <c r="C86" s="213"/>
      <c r="D86" s="213"/>
      <c r="E86" s="208"/>
      <c r="F86" s="3"/>
      <c r="G86" s="3"/>
      <c r="H86" s="3"/>
      <c r="I86" s="3"/>
      <c r="J86" s="3"/>
      <c r="K86" s="3"/>
      <c r="L86" s="3"/>
    </row>
    <row r="87" spans="1:12">
      <c r="A87" s="214"/>
      <c r="B87" s="214"/>
      <c r="C87" s="215"/>
      <c r="D87" s="216"/>
      <c r="E87" s="208"/>
      <c r="F87" s="3"/>
      <c r="G87" s="3"/>
      <c r="H87" s="3"/>
      <c r="I87" s="3"/>
      <c r="J87" s="3"/>
      <c r="K87" s="3"/>
      <c r="L87" s="3"/>
    </row>
    <row r="88" spans="1:12">
      <c r="A88" s="214"/>
      <c r="B88" s="214"/>
      <c r="C88" s="217"/>
      <c r="D88" s="218"/>
      <c r="E88" s="3"/>
      <c r="F88" s="3"/>
      <c r="G88" s="3"/>
      <c r="H88" s="3"/>
      <c r="I88" s="3"/>
      <c r="J88" s="3"/>
      <c r="K88" s="3"/>
      <c r="L88" s="3"/>
    </row>
    <row r="89" spans="1:1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3"/>
      <c r="B90" s="3"/>
      <c r="C90" s="3"/>
      <c r="D90" s="3"/>
      <c r="E90" s="3"/>
      <c r="F90" s="3"/>
      <c r="G90" s="3"/>
      <c r="H90" s="3"/>
      <c r="I90" s="3"/>
      <c r="J90" s="3"/>
      <c r="K90" s="219"/>
      <c r="L90" s="3"/>
    </row>
    <row r="91" spans="1:1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3"/>
      <c r="B103" s="3"/>
      <c r="C103" s="3"/>
      <c r="D103" s="3"/>
      <c r="E103" s="3"/>
      <c r="F103" s="3"/>
      <c r="G103" s="3"/>
      <c r="H103" s="220"/>
      <c r="I103" s="3"/>
      <c r="J103" s="3"/>
      <c r="K103" s="3"/>
      <c r="L103" s="3"/>
    </row>
  </sheetData>
  <customSheetViews>
    <customSheetView guid="{2443864E-3EC0-42CB-9BCC-E86B96EC82D4}">
      <selection sqref="A1:L103"/>
      <pageMargins left="0.7" right="0.7" top="0.75" bottom="0.75" header="0.3" footer="0.3"/>
    </customSheetView>
  </customSheetViews>
  <mergeCells count="49">
    <mergeCell ref="F81:H81"/>
    <mergeCell ref="A57:D57"/>
    <mergeCell ref="F61:K61"/>
    <mergeCell ref="F62:K62"/>
    <mergeCell ref="A66:D66"/>
    <mergeCell ref="I70:K70"/>
    <mergeCell ref="A74:D74"/>
    <mergeCell ref="A51:B51"/>
    <mergeCell ref="A52:B52"/>
    <mergeCell ref="A53:B53"/>
    <mergeCell ref="A54:B54"/>
    <mergeCell ref="A55:B55"/>
    <mergeCell ref="A56:B56"/>
    <mergeCell ref="A46:B46"/>
    <mergeCell ref="A47:B47"/>
    <mergeCell ref="A48:B48"/>
    <mergeCell ref="A49:B49"/>
    <mergeCell ref="A50:D50"/>
    <mergeCell ref="F50:K50"/>
    <mergeCell ref="A27:B27"/>
    <mergeCell ref="F28:K28"/>
    <mergeCell ref="F39:K39"/>
    <mergeCell ref="A43:B43"/>
    <mergeCell ref="A44:B44"/>
    <mergeCell ref="A45:B45"/>
    <mergeCell ref="A19:B19"/>
    <mergeCell ref="A20:B20"/>
    <mergeCell ref="A21:B21"/>
    <mergeCell ref="A22:B22"/>
    <mergeCell ref="A23:B23"/>
    <mergeCell ref="A26:D2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B1:J1"/>
    <mergeCell ref="G2:H2"/>
    <mergeCell ref="G3:H3"/>
    <mergeCell ref="G4:H4"/>
    <mergeCell ref="A6:B6"/>
    <mergeCell ref="F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3"/>
  <sheetViews>
    <sheetView workbookViewId="0">
      <selection sqref="A1:L103"/>
    </sheetView>
  </sheetViews>
  <sheetFormatPr baseColWidth="10" defaultRowHeight="15"/>
  <sheetData>
    <row r="1" spans="1:12" ht="22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1"/>
      <c r="L1" s="3"/>
    </row>
    <row r="2" spans="1:12" ht="16.5">
      <c r="A2" s="4"/>
      <c r="B2" s="3"/>
      <c r="C2" s="5"/>
      <c r="D2" s="5"/>
      <c r="E2" s="5"/>
      <c r="F2" s="5" t="s">
        <v>2</v>
      </c>
      <c r="G2" s="6"/>
      <c r="H2" s="6"/>
      <c r="I2" s="5"/>
      <c r="J2" s="5"/>
      <c r="K2" s="4"/>
      <c r="L2" s="3"/>
    </row>
    <row r="3" spans="1:12">
      <c r="A3" s="7" t="s">
        <v>3</v>
      </c>
      <c r="B3" s="8"/>
      <c r="C3" s="9"/>
      <c r="D3" s="10"/>
      <c r="E3" s="10"/>
      <c r="F3" s="11" t="s">
        <v>4</v>
      </c>
      <c r="G3" s="12"/>
      <c r="H3" s="12"/>
      <c r="I3" s="13"/>
      <c r="J3" s="14"/>
      <c r="K3" s="14"/>
      <c r="L3" s="3"/>
    </row>
    <row r="4" spans="1:12">
      <c r="A4" s="7" t="s">
        <v>5</v>
      </c>
      <c r="B4" s="8"/>
      <c r="C4" s="9"/>
      <c r="D4" s="10"/>
      <c r="E4" s="10"/>
      <c r="F4" s="11" t="s">
        <v>6</v>
      </c>
      <c r="G4" s="15"/>
      <c r="H4" s="15"/>
      <c r="I4" s="13"/>
      <c r="J4" s="11" t="s">
        <v>7</v>
      </c>
      <c r="K4" s="16"/>
      <c r="L4" s="3"/>
    </row>
    <row r="5" spans="1:12" ht="15.75" thickBot="1">
      <c r="A5" s="17"/>
      <c r="B5" s="17"/>
      <c r="C5" s="17"/>
      <c r="D5" s="17"/>
      <c r="E5" s="17"/>
      <c r="F5" s="17"/>
      <c r="G5" s="17"/>
      <c r="H5" s="17"/>
      <c r="I5" s="18"/>
      <c r="J5" s="17"/>
      <c r="K5" s="17"/>
      <c r="L5" s="3"/>
    </row>
    <row r="6" spans="1:12">
      <c r="A6" s="19" t="s">
        <v>8</v>
      </c>
      <c r="B6" s="20"/>
      <c r="C6" s="21" t="s">
        <v>9</v>
      </c>
      <c r="D6" s="21" t="s">
        <v>10</v>
      </c>
      <c r="E6" s="1"/>
      <c r="F6" s="22" t="s">
        <v>11</v>
      </c>
      <c r="G6" s="23"/>
      <c r="H6" s="23"/>
      <c r="I6" s="23"/>
      <c r="J6" s="23"/>
      <c r="K6" s="24"/>
      <c r="L6" s="3"/>
    </row>
    <row r="7" spans="1:12">
      <c r="A7" s="25" t="s">
        <v>12</v>
      </c>
      <c r="B7" s="26"/>
      <c r="C7" s="27">
        <v>160098.46</v>
      </c>
      <c r="D7" s="28"/>
      <c r="E7" s="1"/>
      <c r="F7" s="29" t="s">
        <v>13</v>
      </c>
      <c r="G7" s="30" t="s">
        <v>14</v>
      </c>
      <c r="H7" s="30" t="s">
        <v>15</v>
      </c>
      <c r="I7" s="30" t="s">
        <v>16</v>
      </c>
      <c r="J7" s="30" t="s">
        <v>17</v>
      </c>
      <c r="K7" s="31"/>
      <c r="L7" s="3"/>
    </row>
    <row r="8" spans="1:12" ht="15.75">
      <c r="A8" s="32" t="s">
        <v>18</v>
      </c>
      <c r="B8" s="33"/>
      <c r="C8" s="34"/>
      <c r="D8" s="35">
        <f>+C8/C7</f>
        <v>0</v>
      </c>
      <c r="E8" s="1"/>
      <c r="F8" s="36" t="s">
        <v>19</v>
      </c>
      <c r="G8" s="37">
        <v>2854</v>
      </c>
      <c r="H8" s="38">
        <v>86838.71</v>
      </c>
      <c r="I8" s="39">
        <f t="shared" ref="I8:I25" si="0">IF(G8&gt;0,(H8/G8),0)</f>
        <v>30.427018220042047</v>
      </c>
      <c r="J8" s="40">
        <f>+H8/$C$12</f>
        <v>0.62919345757604417</v>
      </c>
      <c r="K8" s="41"/>
      <c r="L8" s="42"/>
    </row>
    <row r="9" spans="1:12" ht="15.75">
      <c r="A9" s="32" t="s">
        <v>20</v>
      </c>
      <c r="B9" s="33"/>
      <c r="C9" s="43">
        <f>((C7/1.16)-C7)*-1</f>
        <v>22082.546206896543</v>
      </c>
      <c r="D9" s="35"/>
      <c r="E9" s="1"/>
      <c r="F9" s="36" t="s">
        <v>21</v>
      </c>
      <c r="G9" s="37">
        <v>100</v>
      </c>
      <c r="H9" s="44">
        <v>4152.66</v>
      </c>
      <c r="I9" s="39">
        <f t="shared" si="0"/>
        <v>41.526600000000002</v>
      </c>
      <c r="J9" s="40">
        <f t="shared" ref="J9:J25" si="1">+H9/$C$12</f>
        <v>3.0088269431198775E-2</v>
      </c>
      <c r="K9" s="41"/>
      <c r="L9" s="42"/>
    </row>
    <row r="10" spans="1:12" ht="15.75">
      <c r="A10" s="32" t="s">
        <v>22</v>
      </c>
      <c r="B10" s="33"/>
      <c r="C10" s="45">
        <f>+C7-C11</f>
        <v>143733.46</v>
      </c>
      <c r="D10" s="46">
        <f>+C10/C7</f>
        <v>0.89778165261552167</v>
      </c>
      <c r="E10" s="1"/>
      <c r="F10" s="36" t="s">
        <v>23</v>
      </c>
      <c r="G10" s="37">
        <v>105</v>
      </c>
      <c r="H10" s="44">
        <v>4534.51</v>
      </c>
      <c r="I10" s="39">
        <f t="shared" si="0"/>
        <v>43.185809523809525</v>
      </c>
      <c r="J10" s="40">
        <f t="shared" si="1"/>
        <v>3.285497936707199E-2</v>
      </c>
      <c r="K10" s="41"/>
      <c r="L10" s="42"/>
    </row>
    <row r="11" spans="1:12" ht="15.75">
      <c r="A11" s="47" t="s">
        <v>24</v>
      </c>
      <c r="B11" s="48"/>
      <c r="C11" s="49">
        <v>16365</v>
      </c>
      <c r="D11" s="50">
        <f>+C11/C7</f>
        <v>0.10221834738447828</v>
      </c>
      <c r="E11" s="1"/>
      <c r="F11" s="36" t="s">
        <v>25</v>
      </c>
      <c r="G11" s="37">
        <v>263</v>
      </c>
      <c r="H11" s="44">
        <v>5581.88</v>
      </c>
      <c r="I11" s="39">
        <f t="shared" si="0"/>
        <v>21.223878326996196</v>
      </c>
      <c r="J11" s="40">
        <f t="shared" si="1"/>
        <v>4.0443741932308409E-2</v>
      </c>
      <c r="K11" s="41"/>
      <c r="L11" s="42"/>
    </row>
    <row r="12" spans="1:12" ht="15.75">
      <c r="A12" s="51" t="s">
        <v>26</v>
      </c>
      <c r="B12" s="52"/>
      <c r="C12" s="53">
        <f>+C7-C9-C8</f>
        <v>138015.91379310345</v>
      </c>
      <c r="D12" s="54">
        <v>1</v>
      </c>
      <c r="E12" s="1"/>
      <c r="F12" s="36" t="s">
        <v>27</v>
      </c>
      <c r="G12" s="37">
        <v>314</v>
      </c>
      <c r="H12" s="44">
        <v>8127.56</v>
      </c>
      <c r="I12" s="39">
        <f t="shared" si="0"/>
        <v>25.883949044585989</v>
      </c>
      <c r="J12" s="40">
        <f t="shared" si="1"/>
        <v>5.8888571445346823E-2</v>
      </c>
      <c r="K12" s="41"/>
      <c r="L12" s="42"/>
    </row>
    <row r="13" spans="1:12" ht="15.75">
      <c r="A13" s="32" t="s">
        <v>28</v>
      </c>
      <c r="B13" s="33"/>
      <c r="C13" s="55">
        <f>+H19+H21</f>
        <v>4812.1000000000004</v>
      </c>
      <c r="D13" s="56">
        <f>+C13/C$12</f>
        <v>3.4866269169609755E-2</v>
      </c>
      <c r="E13" s="1"/>
      <c r="F13" s="36" t="s">
        <v>29</v>
      </c>
      <c r="G13" s="37">
        <v>62</v>
      </c>
      <c r="H13" s="44">
        <v>2828.53</v>
      </c>
      <c r="I13" s="39">
        <f t="shared" si="0"/>
        <v>45.621451612903229</v>
      </c>
      <c r="J13" s="40">
        <f t="shared" si="1"/>
        <v>2.0494230862682879E-2</v>
      </c>
      <c r="K13" s="41"/>
      <c r="L13" s="42"/>
    </row>
    <row r="14" spans="1:12" ht="15.75">
      <c r="A14" s="32" t="s">
        <v>30</v>
      </c>
      <c r="B14" s="33"/>
      <c r="C14" s="57">
        <f>+C12-C13-C15</f>
        <v>125126.21379310344</v>
      </c>
      <c r="D14" s="56">
        <f>+C14/C$12</f>
        <v>0.90660714662714426</v>
      </c>
      <c r="E14" s="1"/>
      <c r="F14" s="36" t="s">
        <v>31</v>
      </c>
      <c r="G14" s="37">
        <v>68</v>
      </c>
      <c r="H14" s="44">
        <v>2121.4699999999998</v>
      </c>
      <c r="I14" s="39">
        <f t="shared" si="0"/>
        <v>31.198088235294115</v>
      </c>
      <c r="J14" s="40">
        <f t="shared" si="1"/>
        <v>1.5371198448754597E-2</v>
      </c>
      <c r="K14" s="41"/>
      <c r="L14" s="42"/>
    </row>
    <row r="15" spans="1:12" ht="15.75">
      <c r="A15" s="32" t="s">
        <v>32</v>
      </c>
      <c r="B15" s="33"/>
      <c r="C15" s="55">
        <f>+H16</f>
        <v>8077.6</v>
      </c>
      <c r="D15" s="56">
        <f>+C15/C$12</f>
        <v>5.8526584203245927E-2</v>
      </c>
      <c r="E15" s="1"/>
      <c r="F15" s="36" t="s">
        <v>33</v>
      </c>
      <c r="G15" s="37">
        <v>0</v>
      </c>
      <c r="H15" s="44">
        <v>0</v>
      </c>
      <c r="I15" s="39">
        <f t="shared" si="0"/>
        <v>0</v>
      </c>
      <c r="J15" s="40">
        <f t="shared" si="1"/>
        <v>0</v>
      </c>
      <c r="K15" s="41"/>
      <c r="L15" s="42"/>
    </row>
    <row r="16" spans="1:12" ht="15.75">
      <c r="A16" s="47" t="s">
        <v>34</v>
      </c>
      <c r="B16" s="48"/>
      <c r="C16" s="58"/>
      <c r="D16" s="59">
        <f>+C16/C$12</f>
        <v>0</v>
      </c>
      <c r="E16" s="1"/>
      <c r="F16" s="36" t="s">
        <v>35</v>
      </c>
      <c r="G16" s="37">
        <v>33</v>
      </c>
      <c r="H16" s="44">
        <v>8077.6</v>
      </c>
      <c r="I16" s="39">
        <f t="shared" si="0"/>
        <v>244.77575757575758</v>
      </c>
      <c r="J16" s="40">
        <f t="shared" si="1"/>
        <v>5.8526584203245927E-2</v>
      </c>
      <c r="K16" s="41"/>
      <c r="L16" s="42"/>
    </row>
    <row r="17" spans="1:12" ht="15.75">
      <c r="A17" s="60" t="s">
        <v>36</v>
      </c>
      <c r="B17" s="61"/>
      <c r="C17" s="62">
        <v>91515</v>
      </c>
      <c r="D17" s="63">
        <f>((C$12-C17)/C17)</f>
        <v>0.50812340920180787</v>
      </c>
      <c r="E17" s="1"/>
      <c r="F17" s="36" t="s">
        <v>37</v>
      </c>
      <c r="G17" s="37">
        <v>186</v>
      </c>
      <c r="H17" s="44">
        <v>2715.79</v>
      </c>
      <c r="I17" s="39">
        <f t="shared" si="0"/>
        <v>14.601021505376345</v>
      </c>
      <c r="J17" s="40">
        <f t="shared" si="1"/>
        <v>1.9677368539335105E-2</v>
      </c>
      <c r="K17" s="41"/>
      <c r="L17" s="42"/>
    </row>
    <row r="18" spans="1:12" ht="15.75">
      <c r="A18" s="47" t="s">
        <v>38</v>
      </c>
      <c r="B18" s="64"/>
      <c r="C18" s="65">
        <v>93599</v>
      </c>
      <c r="D18" s="59">
        <f>((C$12-C18)/C18)</f>
        <v>0.47454474719925904</v>
      </c>
      <c r="E18" s="1"/>
      <c r="F18" s="36" t="s">
        <v>39</v>
      </c>
      <c r="G18" s="37">
        <v>76</v>
      </c>
      <c r="H18" s="38">
        <v>2128.69</v>
      </c>
      <c r="I18" s="39">
        <f t="shared" si="0"/>
        <v>28.009078947368423</v>
      </c>
      <c r="J18" s="40">
        <f t="shared" si="1"/>
        <v>1.5423511256760371E-2</v>
      </c>
      <c r="K18" s="41"/>
      <c r="L18" s="42"/>
    </row>
    <row r="19" spans="1:12" ht="15.75">
      <c r="A19" s="25" t="s">
        <v>40</v>
      </c>
      <c r="B19" s="26"/>
      <c r="C19" s="66">
        <v>2425</v>
      </c>
      <c r="D19" s="28"/>
      <c r="E19" s="1"/>
      <c r="F19" s="36" t="s">
        <v>41</v>
      </c>
      <c r="G19" s="37">
        <v>46</v>
      </c>
      <c r="H19" s="44">
        <v>2103.5500000000002</v>
      </c>
      <c r="I19" s="39">
        <f t="shared" si="0"/>
        <v>45.729347826086958</v>
      </c>
      <c r="J19" s="40">
        <f t="shared" si="1"/>
        <v>1.524135834910592E-2</v>
      </c>
      <c r="K19" s="41"/>
      <c r="L19" s="42"/>
    </row>
    <row r="20" spans="1:12" ht="15.75">
      <c r="A20" s="32" t="s">
        <v>42</v>
      </c>
      <c r="B20" s="33"/>
      <c r="C20" s="67">
        <v>1413</v>
      </c>
      <c r="D20" s="68">
        <f>((C$19-C20)/C20)</f>
        <v>0.71620665251238502</v>
      </c>
      <c r="E20" s="1"/>
      <c r="F20" s="36" t="s">
        <v>43</v>
      </c>
      <c r="G20" s="37">
        <v>5</v>
      </c>
      <c r="H20" s="44">
        <v>419.82</v>
      </c>
      <c r="I20" s="39">
        <f t="shared" si="0"/>
        <v>83.963999999999999</v>
      </c>
      <c r="J20" s="40">
        <f t="shared" si="1"/>
        <v>3.0418231380863999E-3</v>
      </c>
      <c r="K20" s="41"/>
      <c r="L20" s="42"/>
    </row>
    <row r="21" spans="1:12" ht="15.75">
      <c r="A21" s="32" t="s">
        <v>44</v>
      </c>
      <c r="B21" s="33"/>
      <c r="C21" s="67">
        <v>1531</v>
      </c>
      <c r="D21" s="68">
        <f>((C$19-C21)/C21)</f>
        <v>0.58393207054212937</v>
      </c>
      <c r="E21" s="1"/>
      <c r="F21" s="36" t="s">
        <v>45</v>
      </c>
      <c r="G21" s="37">
        <v>68</v>
      </c>
      <c r="H21" s="44">
        <v>2708.55</v>
      </c>
      <c r="I21" s="39">
        <f t="shared" si="0"/>
        <v>39.831617647058827</v>
      </c>
      <c r="J21" s="40">
        <f t="shared" si="1"/>
        <v>1.9624910820503834E-2</v>
      </c>
      <c r="K21" s="41"/>
      <c r="L21" s="42"/>
    </row>
    <row r="22" spans="1:12" ht="15.75">
      <c r="A22" s="51" t="s">
        <v>46</v>
      </c>
      <c r="B22" s="52"/>
      <c r="C22" s="53">
        <f>+C12/C19</f>
        <v>56.913778883753999</v>
      </c>
      <c r="D22" s="68"/>
      <c r="E22" s="1"/>
      <c r="F22" s="36" t="s">
        <v>47</v>
      </c>
      <c r="G22" s="37">
        <v>154</v>
      </c>
      <c r="H22" s="44">
        <v>3762.89</v>
      </c>
      <c r="I22" s="39">
        <f t="shared" si="0"/>
        <v>24.434350649350648</v>
      </c>
      <c r="J22" s="40">
        <f t="shared" si="1"/>
        <v>2.7264174808427261E-2</v>
      </c>
      <c r="K22" s="41"/>
      <c r="L22" s="42"/>
    </row>
    <row r="23" spans="1:12" ht="15.75">
      <c r="A23" s="32" t="s">
        <v>48</v>
      </c>
      <c r="B23" s="69"/>
      <c r="C23" s="70">
        <v>64</v>
      </c>
      <c r="D23" s="68">
        <f>((C$22-C23)/C23)</f>
        <v>-0.11072220494134377</v>
      </c>
      <c r="E23" s="1"/>
      <c r="F23" s="36" t="s">
        <v>49</v>
      </c>
      <c r="G23" s="37">
        <v>0</v>
      </c>
      <c r="H23" s="44">
        <v>0</v>
      </c>
      <c r="I23" s="39">
        <f t="shared" si="0"/>
        <v>0</v>
      </c>
      <c r="J23" s="40">
        <f t="shared" si="1"/>
        <v>0</v>
      </c>
      <c r="K23" s="41"/>
      <c r="L23" s="42"/>
    </row>
    <row r="24" spans="1:12" ht="15.75">
      <c r="A24" s="71"/>
      <c r="B24" s="72"/>
      <c r="C24" s="73">
        <f>C22-C23</f>
        <v>-7.0862211162460014</v>
      </c>
      <c r="D24" s="68"/>
      <c r="E24" s="1"/>
      <c r="F24" s="36" t="s">
        <v>50</v>
      </c>
      <c r="G24" s="37">
        <v>489</v>
      </c>
      <c r="H24" s="44">
        <v>3150.41</v>
      </c>
      <c r="I24" s="39">
        <f t="shared" si="0"/>
        <v>6.4425562372188132</v>
      </c>
      <c r="J24" s="40">
        <f>+H24/$C$12</f>
        <v>2.2826425688292067E-2</v>
      </c>
      <c r="K24" s="41"/>
      <c r="L24" s="42"/>
    </row>
    <row r="25" spans="1:12" ht="15.75">
      <c r="A25" s="74" t="s">
        <v>51</v>
      </c>
      <c r="B25" s="75"/>
      <c r="C25" s="76">
        <f>+H32</f>
        <v>60</v>
      </c>
      <c r="D25" s="77">
        <f>((C$22-C25)/C25)</f>
        <v>-5.1437018604100021E-2</v>
      </c>
      <c r="E25" s="1" t="s">
        <v>52</v>
      </c>
      <c r="F25" s="36" t="s">
        <v>53</v>
      </c>
      <c r="G25" s="78">
        <v>115</v>
      </c>
      <c r="H25" s="44">
        <v>356.02</v>
      </c>
      <c r="I25" s="39">
        <f t="shared" si="0"/>
        <v>3.0958260869565217</v>
      </c>
      <c r="J25" s="40">
        <f t="shared" si="1"/>
        <v>2.5795576047389834E-3</v>
      </c>
      <c r="K25" s="41"/>
      <c r="L25" s="42"/>
    </row>
    <row r="26" spans="1:12" ht="16.5" thickBot="1">
      <c r="A26" s="79" t="s">
        <v>54</v>
      </c>
      <c r="B26" s="80"/>
      <c r="C26" s="80"/>
      <c r="D26" s="81"/>
      <c r="E26" s="1"/>
      <c r="F26" s="82" t="s">
        <v>55</v>
      </c>
      <c r="G26" s="83">
        <v>514</v>
      </c>
      <c r="H26" s="84">
        <v>11489.29</v>
      </c>
      <c r="I26" s="85">
        <f>IF(G26&gt;0,(H26/G26),0)</f>
        <v>22.352704280155645</v>
      </c>
      <c r="J26" s="86">
        <f>+H26/$C$12</f>
        <v>8.324612491587989E-2</v>
      </c>
      <c r="K26" s="87"/>
      <c r="L26" s="42"/>
    </row>
    <row r="27" spans="1:12" ht="15.75" thickBot="1">
      <c r="A27" s="88" t="s">
        <v>56</v>
      </c>
      <c r="B27" s="89"/>
      <c r="C27" s="90"/>
      <c r="D27" s="91"/>
      <c r="E27" s="1"/>
      <c r="F27" s="92" t="s">
        <v>57</v>
      </c>
      <c r="G27" s="93">
        <f>SUM(G8:G26)</f>
        <v>5452</v>
      </c>
      <c r="H27" s="94">
        <f>SUM(H8:H26)</f>
        <v>151097.93000000002</v>
      </c>
      <c r="I27" s="95">
        <f>+H27/G27</f>
        <v>27.714220469552462</v>
      </c>
      <c r="J27" s="96">
        <f>SUM(J8:J26)</f>
        <v>1.0947862883877832</v>
      </c>
      <c r="K27" s="97"/>
      <c r="L27" s="3"/>
    </row>
    <row r="28" spans="1:12" ht="15.75" thickBot="1">
      <c r="A28" s="98" t="s">
        <v>58</v>
      </c>
      <c r="B28" s="99"/>
      <c r="C28" s="90">
        <v>22553.24</v>
      </c>
      <c r="D28" s="100"/>
      <c r="E28" s="1"/>
      <c r="F28" s="22" t="s">
        <v>59</v>
      </c>
      <c r="G28" s="23"/>
      <c r="H28" s="23"/>
      <c r="I28" s="23"/>
      <c r="J28" s="23"/>
      <c r="K28" s="24"/>
      <c r="L28" s="3"/>
    </row>
    <row r="29" spans="1:12">
      <c r="A29" s="98" t="s">
        <v>60</v>
      </c>
      <c r="B29" s="99"/>
      <c r="C29" s="101">
        <v>57.54</v>
      </c>
      <c r="D29" s="102"/>
      <c r="E29" s="1"/>
      <c r="F29" s="29"/>
      <c r="G29" s="30" t="s">
        <v>61</v>
      </c>
      <c r="H29" s="30" t="s">
        <v>62</v>
      </c>
      <c r="I29" s="30"/>
      <c r="J29" s="30" t="s">
        <v>63</v>
      </c>
      <c r="K29" s="30" t="s">
        <v>64</v>
      </c>
      <c r="L29" s="3"/>
    </row>
    <row r="30" spans="1:12" ht="15.75">
      <c r="A30" s="98" t="s">
        <v>60</v>
      </c>
      <c r="B30" s="99"/>
      <c r="C30" s="101">
        <v>89.9</v>
      </c>
      <c r="D30" s="102"/>
      <c r="E30" s="1"/>
      <c r="F30" s="103" t="s">
        <v>65</v>
      </c>
      <c r="G30" s="104">
        <f>+C12</f>
        <v>138015.91379310345</v>
      </c>
      <c r="H30" s="105">
        <v>100789.95</v>
      </c>
      <c r="I30" s="106" t="s">
        <v>66</v>
      </c>
      <c r="J30" s="107">
        <f t="shared" ref="J30:J37" si="2">((G30-H30)/H30)</f>
        <v>0.36934202063899679</v>
      </c>
      <c r="K30" s="108">
        <f t="shared" ref="K30:K37" si="3">+G30-H30</f>
        <v>37225.963793103452</v>
      </c>
      <c r="L30" s="3"/>
    </row>
    <row r="31" spans="1:12" ht="15.75">
      <c r="A31" s="98" t="s">
        <v>60</v>
      </c>
      <c r="B31" s="99"/>
      <c r="C31" s="101">
        <v>107.88</v>
      </c>
      <c r="D31" s="102"/>
      <c r="E31" s="1"/>
      <c r="F31" s="103" t="s">
        <v>67</v>
      </c>
      <c r="G31" s="109">
        <f>+C19</f>
        <v>2425</v>
      </c>
      <c r="H31" s="110">
        <f>+(C21*5%)+C21</f>
        <v>1607.55</v>
      </c>
      <c r="I31" s="111" t="s">
        <v>68</v>
      </c>
      <c r="J31" s="107">
        <f t="shared" si="2"/>
        <v>0.50850673384964706</v>
      </c>
      <c r="K31" s="112">
        <f t="shared" si="3"/>
        <v>817.45</v>
      </c>
      <c r="L31" s="3"/>
    </row>
    <row r="32" spans="1:12" ht="15.75">
      <c r="A32" s="98" t="s">
        <v>60</v>
      </c>
      <c r="B32" s="99"/>
      <c r="C32" s="101">
        <v>41.83</v>
      </c>
      <c r="D32" s="102"/>
      <c r="E32" s="1"/>
      <c r="F32" s="103" t="s">
        <v>46</v>
      </c>
      <c r="G32" s="104">
        <f>+C22</f>
        <v>56.913778883753999</v>
      </c>
      <c r="H32" s="104">
        <v>60</v>
      </c>
      <c r="I32" s="113" t="s">
        <v>66</v>
      </c>
      <c r="J32" s="107">
        <f t="shared" si="2"/>
        <v>-5.1437018604100021E-2</v>
      </c>
      <c r="K32" s="108">
        <f t="shared" si="3"/>
        <v>-3.0862211162460014</v>
      </c>
      <c r="L32" s="3"/>
    </row>
    <row r="33" spans="1:12" ht="15.75">
      <c r="A33" s="71" t="s">
        <v>69</v>
      </c>
      <c r="B33" s="99"/>
      <c r="C33" s="101">
        <v>89.9</v>
      </c>
      <c r="D33" s="102"/>
      <c r="E33" s="1"/>
      <c r="F33" s="103" t="s">
        <v>70</v>
      </c>
      <c r="G33" s="104">
        <f>+H16</f>
        <v>8077.6</v>
      </c>
      <c r="H33" s="104">
        <f>+G30*10%</f>
        <v>13801.591379310346</v>
      </c>
      <c r="I33" s="114" t="s">
        <v>71</v>
      </c>
      <c r="J33" s="107">
        <f t="shared" si="2"/>
        <v>-0.41473415796754076</v>
      </c>
      <c r="K33" s="108">
        <f t="shared" si="3"/>
        <v>-5723.991379310346</v>
      </c>
      <c r="L33" s="3"/>
    </row>
    <row r="34" spans="1:12" ht="15.75">
      <c r="A34" s="71" t="s">
        <v>72</v>
      </c>
      <c r="B34" s="99"/>
      <c r="C34" s="101"/>
      <c r="D34" s="102"/>
      <c r="E34" s="1"/>
      <c r="F34" s="103" t="s">
        <v>73</v>
      </c>
      <c r="G34" s="104">
        <f>+H24</f>
        <v>3150.41</v>
      </c>
      <c r="H34" s="104">
        <f>+G30*2%</f>
        <v>2760.3182758620692</v>
      </c>
      <c r="I34" s="114" t="s">
        <v>74</v>
      </c>
      <c r="J34" s="107">
        <f t="shared" si="2"/>
        <v>0.14132128441460323</v>
      </c>
      <c r="K34" s="108">
        <f t="shared" si="3"/>
        <v>390.09172413793067</v>
      </c>
      <c r="L34" s="3"/>
    </row>
    <row r="35" spans="1:12" ht="15.75">
      <c r="A35" s="71" t="s">
        <v>72</v>
      </c>
      <c r="B35" s="115"/>
      <c r="C35" s="101"/>
      <c r="D35" s="102"/>
      <c r="E35" s="1"/>
      <c r="F35" s="103" t="s">
        <v>75</v>
      </c>
      <c r="G35" s="104">
        <f>+C52</f>
        <v>990.54</v>
      </c>
      <c r="H35" s="104">
        <f>+G30*0.2%</f>
        <v>276.03182758620693</v>
      </c>
      <c r="I35" s="116" t="s">
        <v>76</v>
      </c>
      <c r="J35" s="107">
        <f t="shared" si="2"/>
        <v>2.5884992272880072</v>
      </c>
      <c r="K35" s="108">
        <f t="shared" si="3"/>
        <v>714.50817241379309</v>
      </c>
      <c r="L35" s="3"/>
    </row>
    <row r="36" spans="1:12" ht="15.75">
      <c r="A36" s="71" t="s">
        <v>72</v>
      </c>
      <c r="B36" s="115"/>
      <c r="C36" s="101"/>
      <c r="D36" s="102"/>
      <c r="E36" s="1"/>
      <c r="F36" s="103" t="s">
        <v>77</v>
      </c>
      <c r="G36" s="104">
        <f>+C53</f>
        <v>0</v>
      </c>
      <c r="H36" s="104">
        <f>+G30*0.5%</f>
        <v>690.0795689655173</v>
      </c>
      <c r="I36" s="116" t="s">
        <v>78</v>
      </c>
      <c r="J36" s="107">
        <f t="shared" si="2"/>
        <v>-1</v>
      </c>
      <c r="K36" s="108">
        <f t="shared" si="3"/>
        <v>-690.0795689655173</v>
      </c>
      <c r="L36" s="3"/>
    </row>
    <row r="37" spans="1:12" ht="16.5" thickBot="1">
      <c r="A37" s="71" t="s">
        <v>72</v>
      </c>
      <c r="B37" s="99"/>
      <c r="C37" s="101"/>
      <c r="D37" s="102"/>
      <c r="E37" s="1"/>
      <c r="F37" s="103" t="s">
        <v>79</v>
      </c>
      <c r="G37" s="104">
        <f>+C45</f>
        <v>22940.290000000008</v>
      </c>
      <c r="H37" s="104">
        <f>+C12*34%</f>
        <v>46925.410689655175</v>
      </c>
      <c r="I37" s="117" t="s">
        <v>80</v>
      </c>
      <c r="J37" s="107">
        <f t="shared" si="2"/>
        <v>-0.51113288806959223</v>
      </c>
      <c r="K37" s="108">
        <f t="shared" si="3"/>
        <v>-23985.120689655167</v>
      </c>
      <c r="L37" s="3"/>
    </row>
    <row r="38" spans="1:12" ht="15.75" thickBot="1">
      <c r="A38" s="71" t="s">
        <v>72</v>
      </c>
      <c r="B38" s="99"/>
      <c r="C38" s="101"/>
      <c r="D38" s="102"/>
      <c r="E38" s="1"/>
      <c r="F38" s="118"/>
      <c r="G38" s="119"/>
      <c r="H38" s="119"/>
      <c r="I38" s="119"/>
      <c r="J38" s="119"/>
      <c r="K38" s="120"/>
      <c r="L38" s="3"/>
    </row>
    <row r="39" spans="1:12" ht="15.75" thickBot="1">
      <c r="A39" s="121" t="s">
        <v>81</v>
      </c>
      <c r="B39" s="122"/>
      <c r="C39" s="101"/>
      <c r="D39" s="123"/>
      <c r="E39" s="1"/>
      <c r="F39" s="124" t="s">
        <v>82</v>
      </c>
      <c r="G39" s="125"/>
      <c r="H39" s="125"/>
      <c r="I39" s="125"/>
      <c r="J39" s="125"/>
      <c r="K39" s="126"/>
      <c r="L39" s="3"/>
    </row>
    <row r="40" spans="1:12">
      <c r="A40" s="121" t="s">
        <v>81</v>
      </c>
      <c r="B40" s="122"/>
      <c r="C40" s="101"/>
      <c r="D40" s="123"/>
      <c r="E40" s="1"/>
      <c r="F40" s="127" t="s">
        <v>83</v>
      </c>
      <c r="G40" s="127" t="s">
        <v>84</v>
      </c>
      <c r="H40" s="127" t="s">
        <v>85</v>
      </c>
      <c r="I40" s="127" t="s">
        <v>86</v>
      </c>
      <c r="J40" s="128" t="s">
        <v>87</v>
      </c>
      <c r="K40" s="127" t="s">
        <v>88</v>
      </c>
      <c r="L40" s="3"/>
    </row>
    <row r="41" spans="1:12">
      <c r="A41" s="121" t="s">
        <v>81</v>
      </c>
      <c r="B41" s="122"/>
      <c r="C41" s="101"/>
      <c r="D41" s="123"/>
      <c r="E41" s="1"/>
      <c r="F41" s="129" t="s">
        <v>89</v>
      </c>
      <c r="G41" s="130"/>
      <c r="H41" s="131"/>
      <c r="I41" s="131"/>
      <c r="J41" s="131"/>
      <c r="K41" s="130"/>
      <c r="L41" s="3"/>
    </row>
    <row r="42" spans="1:12">
      <c r="A42" s="121" t="s">
        <v>81</v>
      </c>
      <c r="B42" s="122"/>
      <c r="C42" s="101"/>
      <c r="D42" s="132"/>
      <c r="E42" s="1"/>
      <c r="F42" s="129" t="s">
        <v>90</v>
      </c>
      <c r="G42" s="131"/>
      <c r="H42" s="131"/>
      <c r="I42" s="131"/>
      <c r="J42" s="131"/>
      <c r="K42" s="131"/>
      <c r="L42" s="3"/>
    </row>
    <row r="43" spans="1:12" ht="15.75" thickBot="1">
      <c r="A43" s="60" t="s">
        <v>91</v>
      </c>
      <c r="B43" s="133"/>
      <c r="C43" s="134">
        <f>SUM(C28:C42)</f>
        <v>22940.290000000008</v>
      </c>
      <c r="D43" s="63"/>
      <c r="E43" s="1"/>
      <c r="F43" s="129" t="s">
        <v>92</v>
      </c>
      <c r="G43" s="130"/>
      <c r="H43" s="131"/>
      <c r="I43" s="131"/>
      <c r="J43" s="131"/>
      <c r="K43" s="130"/>
      <c r="L43" s="3"/>
    </row>
    <row r="44" spans="1:12" ht="15.75" thickBot="1">
      <c r="A44" s="88" t="s">
        <v>93</v>
      </c>
      <c r="B44" s="89"/>
      <c r="C44" s="90"/>
      <c r="D44" s="56"/>
      <c r="E44" s="1"/>
      <c r="F44" s="129" t="s">
        <v>94</v>
      </c>
      <c r="G44" s="135">
        <f>G41+G42-G43</f>
        <v>0</v>
      </c>
      <c r="H44" s="135">
        <f>H41+H42-H43</f>
        <v>0</v>
      </c>
      <c r="I44" s="135">
        <f>I41+I42-I43</f>
        <v>0</v>
      </c>
      <c r="J44" s="135">
        <f>J41+J42-J43</f>
        <v>0</v>
      </c>
      <c r="K44" s="135">
        <f>K41+K42-K43</f>
        <v>0</v>
      </c>
      <c r="L44" s="3"/>
    </row>
    <row r="45" spans="1:12" ht="15.75" thickBot="1">
      <c r="A45" s="136" t="s">
        <v>95</v>
      </c>
      <c r="B45" s="137"/>
      <c r="C45" s="138">
        <f>+(C27+C43)-C44</f>
        <v>22940.290000000008</v>
      </c>
      <c r="D45" s="139">
        <f>+C45/C$12</f>
        <v>0.16621481805633864</v>
      </c>
      <c r="E45" s="1"/>
      <c r="F45" s="129" t="s">
        <v>96</v>
      </c>
      <c r="G45" s="140"/>
      <c r="H45" s="140"/>
      <c r="I45" s="140"/>
      <c r="J45" s="140"/>
      <c r="K45" s="140"/>
      <c r="L45" s="3"/>
    </row>
    <row r="46" spans="1:12" ht="15.75" thickBot="1">
      <c r="A46" s="136"/>
      <c r="B46" s="137"/>
      <c r="C46" s="141"/>
      <c r="D46" s="142"/>
      <c r="E46" s="1"/>
      <c r="F46" s="143" t="s">
        <v>97</v>
      </c>
      <c r="G46" s="144">
        <f>G45+G48-G44-G49</f>
        <v>0</v>
      </c>
      <c r="H46" s="144">
        <f>H45+H48-H44-H49</f>
        <v>0</v>
      </c>
      <c r="I46" s="144">
        <f>I45+I48-I44-I49</f>
        <v>0</v>
      </c>
      <c r="J46" s="144">
        <f>J45+J48-J44-J49</f>
        <v>0</v>
      </c>
      <c r="K46" s="144">
        <f>K45+K48-K44-K49</f>
        <v>0</v>
      </c>
      <c r="L46" s="3"/>
    </row>
    <row r="47" spans="1:12">
      <c r="A47" s="32" t="s">
        <v>98</v>
      </c>
      <c r="B47" s="33"/>
      <c r="C47" s="145">
        <f>+C75+C76+C77+C78+C79+C80+C81</f>
        <v>50470.869999999995</v>
      </c>
      <c r="D47" s="146">
        <f>+C47/C$12</f>
        <v>0.36568877177207071</v>
      </c>
      <c r="E47" s="1"/>
      <c r="F47" s="129" t="s">
        <v>99</v>
      </c>
      <c r="G47" s="147">
        <f>+G46*I10</f>
        <v>0</v>
      </c>
      <c r="H47" s="147">
        <f>+H46*$I$8</f>
        <v>0</v>
      </c>
      <c r="I47" s="147">
        <f>+I46*$I$8</f>
        <v>0</v>
      </c>
      <c r="J47" s="147">
        <f>+J46*$I$8</f>
        <v>0</v>
      </c>
      <c r="K47" s="147">
        <f>+K46*I16</f>
        <v>0</v>
      </c>
      <c r="L47" s="3"/>
    </row>
    <row r="48" spans="1:12">
      <c r="A48" s="47" t="s">
        <v>100</v>
      </c>
      <c r="B48" s="48"/>
      <c r="C48" s="148">
        <f>C45-C47</f>
        <v>-27530.579999999987</v>
      </c>
      <c r="D48" s="59">
        <f>D45-D47</f>
        <v>-0.19947395371573207</v>
      </c>
      <c r="E48" s="1"/>
      <c r="F48" s="149" t="s">
        <v>75</v>
      </c>
      <c r="G48" s="150"/>
      <c r="H48" s="150"/>
      <c r="I48" s="150"/>
      <c r="J48" s="150"/>
      <c r="K48" s="150"/>
      <c r="L48" s="3"/>
    </row>
    <row r="49" spans="1:12">
      <c r="A49" s="151"/>
      <c r="B49" s="151"/>
      <c r="C49" s="152"/>
      <c r="D49" s="153"/>
      <c r="E49" s="1"/>
      <c r="F49" s="149" t="s">
        <v>101</v>
      </c>
      <c r="G49" s="154"/>
      <c r="H49" s="154"/>
      <c r="I49" s="154"/>
      <c r="J49" s="154"/>
      <c r="K49" s="154"/>
      <c r="L49" s="3"/>
    </row>
    <row r="50" spans="1:12">
      <c r="A50" s="19" t="s">
        <v>102</v>
      </c>
      <c r="B50" s="155"/>
      <c r="C50" s="155"/>
      <c r="D50" s="20"/>
      <c r="E50" s="1"/>
      <c r="F50" s="19" t="s">
        <v>82</v>
      </c>
      <c r="G50" s="155"/>
      <c r="H50" s="155"/>
      <c r="I50" s="155"/>
      <c r="J50" s="155"/>
      <c r="K50" s="155"/>
      <c r="L50" s="3"/>
    </row>
    <row r="51" spans="1:12">
      <c r="A51" s="32" t="s">
        <v>103</v>
      </c>
      <c r="B51" s="69"/>
      <c r="C51" s="156">
        <f>(C45-C52-C53)</f>
        <v>21949.750000000007</v>
      </c>
      <c r="D51" s="56">
        <f>+C51/C$12</f>
        <v>0.15903781960176261</v>
      </c>
      <c r="E51" s="1"/>
      <c r="F51" s="149" t="s">
        <v>83</v>
      </c>
      <c r="G51" s="149" t="s">
        <v>104</v>
      </c>
      <c r="H51" s="149" t="s">
        <v>105</v>
      </c>
      <c r="I51" s="149" t="s">
        <v>106</v>
      </c>
      <c r="J51" s="149" t="s">
        <v>107</v>
      </c>
      <c r="K51" s="149" t="s">
        <v>108</v>
      </c>
      <c r="L51" s="3"/>
    </row>
    <row r="52" spans="1:12">
      <c r="A52" s="32" t="s">
        <v>109</v>
      </c>
      <c r="B52" s="69"/>
      <c r="C52" s="157">
        <v>990.54</v>
      </c>
      <c r="D52" s="56">
        <f>+C52/C$12</f>
        <v>7.1769984545760153E-3</v>
      </c>
      <c r="E52" s="1"/>
      <c r="F52" s="129" t="s">
        <v>89</v>
      </c>
      <c r="G52" s="131"/>
      <c r="H52" s="131"/>
      <c r="I52" s="131"/>
      <c r="J52" s="131"/>
      <c r="K52" s="130"/>
      <c r="L52" s="3"/>
    </row>
    <row r="53" spans="1:12">
      <c r="A53" s="32" t="s">
        <v>77</v>
      </c>
      <c r="B53" s="69"/>
      <c r="C53" s="157"/>
      <c r="D53" s="56">
        <f>+C53/C$12</f>
        <v>0</v>
      </c>
      <c r="E53" s="1"/>
      <c r="F53" s="129" t="s">
        <v>90</v>
      </c>
      <c r="G53" s="131"/>
      <c r="H53" s="131"/>
      <c r="I53" s="131"/>
      <c r="J53" s="131"/>
      <c r="K53" s="131"/>
      <c r="L53" s="3"/>
    </row>
    <row r="54" spans="1:12" ht="15.75" thickBot="1">
      <c r="A54" s="158" t="s">
        <v>54</v>
      </c>
      <c r="B54" s="159"/>
      <c r="C54" s="160">
        <f>+C51+C52+C53</f>
        <v>22940.290000000008</v>
      </c>
      <c r="D54" s="161">
        <f>+C54/C$12</f>
        <v>0.16621481805633864</v>
      </c>
      <c r="E54" s="1"/>
      <c r="F54" s="129" t="s">
        <v>92</v>
      </c>
      <c r="G54" s="131"/>
      <c r="H54" s="131"/>
      <c r="I54" s="131"/>
      <c r="J54" s="131"/>
      <c r="K54" s="130"/>
      <c r="L54" s="3"/>
    </row>
    <row r="55" spans="1:12" ht="16.5" thickBot="1">
      <c r="A55" s="32" t="s">
        <v>110</v>
      </c>
      <c r="B55" s="69"/>
      <c r="C55" s="162"/>
      <c r="D55" s="56">
        <f>+C55/C12</f>
        <v>0</v>
      </c>
      <c r="E55" s="1"/>
      <c r="F55" s="129" t="s">
        <v>94</v>
      </c>
      <c r="G55" s="135">
        <f>G52+G53-G54</f>
        <v>0</v>
      </c>
      <c r="H55" s="135">
        <f>H52+H53-H54</f>
        <v>0</v>
      </c>
      <c r="I55" s="135">
        <f>I52+I53-I54</f>
        <v>0</v>
      </c>
      <c r="J55" s="135">
        <f>J52+J53-J54</f>
        <v>0</v>
      </c>
      <c r="K55" s="135">
        <f>K52+K53-K54</f>
        <v>0</v>
      </c>
      <c r="L55" s="3"/>
    </row>
    <row r="56" spans="1:12" ht="15.75" thickBot="1">
      <c r="A56" s="163" t="s">
        <v>111</v>
      </c>
      <c r="B56" s="164"/>
      <c r="C56" s="165">
        <f>+C12-((C12*6.85%)+C54+C55)</f>
        <v>105621.53369827586</v>
      </c>
      <c r="D56" s="50">
        <f>+C56/C12</f>
        <v>0.76528518194366135</v>
      </c>
      <c r="E56" s="1"/>
      <c r="F56" s="129" t="s">
        <v>96</v>
      </c>
      <c r="G56" s="140"/>
      <c r="H56" s="140"/>
      <c r="I56" s="140"/>
      <c r="J56" s="140"/>
      <c r="K56" s="140"/>
      <c r="L56" s="3"/>
    </row>
    <row r="57" spans="1:12" ht="15.75" thickBot="1">
      <c r="A57" s="19" t="s">
        <v>112</v>
      </c>
      <c r="B57" s="155"/>
      <c r="C57" s="155"/>
      <c r="D57" s="166"/>
      <c r="E57" s="1"/>
      <c r="F57" s="143" t="s">
        <v>97</v>
      </c>
      <c r="G57" s="144">
        <f>G56+G59-G55-G60</f>
        <v>0</v>
      </c>
      <c r="H57" s="144">
        <f>H56+H59-H55-H60</f>
        <v>0</v>
      </c>
      <c r="I57" s="144">
        <f>I56+I59-I55-I60</f>
        <v>0</v>
      </c>
      <c r="J57" s="144">
        <f>J56+J59-J55-J60</f>
        <v>0</v>
      </c>
      <c r="K57" s="144">
        <f>K56+K59-K55-K60</f>
        <v>0</v>
      </c>
      <c r="L57" s="3"/>
    </row>
    <row r="58" spans="1:12">
      <c r="A58" s="167" t="s">
        <v>113</v>
      </c>
      <c r="B58" s="168"/>
      <c r="C58" s="169">
        <v>28009.69</v>
      </c>
      <c r="D58" s="170">
        <f>+C58/$C$12</f>
        <v>0.20294536499601556</v>
      </c>
      <c r="E58" s="1"/>
      <c r="F58" s="129" t="s">
        <v>99</v>
      </c>
      <c r="G58" s="147">
        <f>+G57*I18</f>
        <v>0</v>
      </c>
      <c r="H58" s="147">
        <f>+H57*I13</f>
        <v>0</v>
      </c>
      <c r="I58" s="147">
        <f>+I57*I15</f>
        <v>0</v>
      </c>
      <c r="J58" s="147">
        <f>+J57*I11</f>
        <v>0</v>
      </c>
      <c r="K58" s="147">
        <f>+K57*I12</f>
        <v>0</v>
      </c>
      <c r="L58" s="3"/>
    </row>
    <row r="59" spans="1:12">
      <c r="A59" s="171" t="s">
        <v>114</v>
      </c>
      <c r="B59" s="172"/>
      <c r="C59" s="173">
        <v>7223.92</v>
      </c>
      <c r="D59" s="174">
        <f t="shared" ref="D59:D64" si="4">+C59/$C$12</f>
        <v>5.2341210527571597E-2</v>
      </c>
      <c r="E59" s="1"/>
      <c r="F59" s="149" t="s">
        <v>75</v>
      </c>
      <c r="G59" s="150"/>
      <c r="H59" s="150"/>
      <c r="I59" s="150"/>
      <c r="J59" s="150"/>
      <c r="K59" s="150"/>
      <c r="L59" s="3"/>
    </row>
    <row r="60" spans="1:12">
      <c r="A60" s="171" t="s">
        <v>115</v>
      </c>
      <c r="B60" s="172"/>
      <c r="C60" s="173">
        <v>19989.560000000001</v>
      </c>
      <c r="D60" s="174">
        <f t="shared" si="4"/>
        <v>0.14483518204984608</v>
      </c>
      <c r="E60" s="1"/>
      <c r="F60" s="149" t="s">
        <v>101</v>
      </c>
      <c r="G60" s="154"/>
      <c r="H60" s="154"/>
      <c r="I60" s="154"/>
      <c r="J60" s="154"/>
      <c r="K60" s="154"/>
      <c r="L60" s="3"/>
    </row>
    <row r="61" spans="1:12">
      <c r="A61" s="171" t="s">
        <v>116</v>
      </c>
      <c r="B61" s="172"/>
      <c r="C61" s="173">
        <v>12800.06</v>
      </c>
      <c r="D61" s="174">
        <f t="shared" si="4"/>
        <v>9.2743363052961283E-2</v>
      </c>
      <c r="E61" s="1"/>
      <c r="F61" s="175" t="s">
        <v>117</v>
      </c>
      <c r="G61" s="176"/>
      <c r="H61" s="176"/>
      <c r="I61" s="176"/>
      <c r="J61" s="176"/>
      <c r="K61" s="176"/>
      <c r="L61" s="3"/>
    </row>
    <row r="62" spans="1:12">
      <c r="A62" s="171" t="s">
        <v>118</v>
      </c>
      <c r="B62" s="172"/>
      <c r="C62" s="173">
        <v>18492.560000000001</v>
      </c>
      <c r="D62" s="174">
        <f t="shared" si="4"/>
        <v>0.13398860676111438</v>
      </c>
      <c r="E62" s="1"/>
      <c r="F62" s="177" t="s">
        <v>119</v>
      </c>
      <c r="G62" s="178"/>
      <c r="H62" s="178"/>
      <c r="I62" s="178"/>
      <c r="J62" s="178"/>
      <c r="K62" s="178"/>
      <c r="L62" s="3"/>
    </row>
    <row r="63" spans="1:12">
      <c r="A63" s="171" t="s">
        <v>120</v>
      </c>
      <c r="B63" s="172"/>
      <c r="C63" s="173">
        <v>27992.15</v>
      </c>
      <c r="D63" s="174">
        <f t="shared" si="4"/>
        <v>0.20281827820205142</v>
      </c>
      <c r="E63" s="1"/>
      <c r="F63" s="179" t="s">
        <v>121</v>
      </c>
      <c r="G63" s="180"/>
      <c r="H63" s="181">
        <f t="shared" ref="H63:H80" si="5">+G63/$C$19</f>
        <v>0</v>
      </c>
      <c r="I63" s="182"/>
      <c r="J63" s="180"/>
      <c r="K63" s="181">
        <f t="shared" ref="K63:K80" si="6">+J63/$C$19</f>
        <v>0</v>
      </c>
      <c r="L63" s="3"/>
    </row>
    <row r="64" spans="1:12">
      <c r="A64" s="183" t="s">
        <v>122</v>
      </c>
      <c r="B64" s="184"/>
      <c r="C64" s="185">
        <v>23507.15</v>
      </c>
      <c r="D64" s="186">
        <f t="shared" si="4"/>
        <v>0.17032202558350656</v>
      </c>
      <c r="E64" s="1"/>
      <c r="F64" s="179" t="s">
        <v>123</v>
      </c>
      <c r="G64" s="187"/>
      <c r="H64" s="181">
        <f t="shared" si="5"/>
        <v>0</v>
      </c>
      <c r="I64" s="179"/>
      <c r="J64" s="180"/>
      <c r="K64" s="181">
        <f t="shared" si="6"/>
        <v>0</v>
      </c>
      <c r="L64" s="3"/>
    </row>
    <row r="65" spans="1:12">
      <c r="A65" s="1"/>
      <c r="B65" s="188">
        <f>+C12</f>
        <v>138015.91379310345</v>
      </c>
      <c r="C65" s="189"/>
      <c r="D65" s="190">
        <f>SUM(D58:D64)</f>
        <v>0.99999403117306684</v>
      </c>
      <c r="E65" s="1"/>
      <c r="F65" s="179" t="s">
        <v>124</v>
      </c>
      <c r="G65" s="187"/>
      <c r="H65" s="181">
        <f t="shared" si="5"/>
        <v>0</v>
      </c>
      <c r="I65" s="179"/>
      <c r="J65" s="180"/>
      <c r="K65" s="181">
        <f t="shared" si="6"/>
        <v>0</v>
      </c>
      <c r="L65" s="3"/>
    </row>
    <row r="66" spans="1:12">
      <c r="A66" s="19" t="s">
        <v>125</v>
      </c>
      <c r="B66" s="155"/>
      <c r="C66" s="155"/>
      <c r="D66" s="166"/>
      <c r="E66" s="1"/>
      <c r="F66" s="179" t="s">
        <v>126</v>
      </c>
      <c r="G66" s="187"/>
      <c r="H66" s="181">
        <f t="shared" si="5"/>
        <v>0</v>
      </c>
      <c r="I66" s="179"/>
      <c r="J66" s="180"/>
      <c r="K66" s="181">
        <f t="shared" si="6"/>
        <v>0</v>
      </c>
      <c r="L66" s="3"/>
    </row>
    <row r="67" spans="1:12">
      <c r="A67" s="167" t="s">
        <v>113</v>
      </c>
      <c r="B67" s="168"/>
      <c r="C67" s="191">
        <v>444</v>
      </c>
      <c r="D67" s="170">
        <f>+C67/$C$19</f>
        <v>0.18309278350515465</v>
      </c>
      <c r="E67" s="1"/>
      <c r="F67" s="179" t="s">
        <v>127</v>
      </c>
      <c r="G67" s="187"/>
      <c r="H67" s="181">
        <f t="shared" si="5"/>
        <v>0</v>
      </c>
      <c r="I67" s="179"/>
      <c r="J67" s="180"/>
      <c r="K67" s="181">
        <f t="shared" si="6"/>
        <v>0</v>
      </c>
      <c r="L67" s="3"/>
    </row>
    <row r="68" spans="1:12">
      <c r="A68" s="171" t="s">
        <v>114</v>
      </c>
      <c r="B68" s="172"/>
      <c r="C68" s="192">
        <v>143</v>
      </c>
      <c r="D68" s="174">
        <f t="shared" ref="D68:D73" si="7">+C68/$C$19</f>
        <v>5.8969072164948455E-2</v>
      </c>
      <c r="E68" s="1"/>
      <c r="F68" s="179" t="s">
        <v>128</v>
      </c>
      <c r="G68" s="187"/>
      <c r="H68" s="181">
        <f t="shared" si="5"/>
        <v>0</v>
      </c>
      <c r="I68" s="179"/>
      <c r="J68" s="180"/>
      <c r="K68" s="181">
        <f t="shared" si="6"/>
        <v>0</v>
      </c>
      <c r="L68" s="3"/>
    </row>
    <row r="69" spans="1:12">
      <c r="A69" s="171" t="s">
        <v>115</v>
      </c>
      <c r="B69" s="172"/>
      <c r="C69" s="192">
        <v>403</v>
      </c>
      <c r="D69" s="174">
        <f t="shared" si="7"/>
        <v>0.16618556701030929</v>
      </c>
      <c r="E69" s="1"/>
      <c r="F69" s="179" t="s">
        <v>129</v>
      </c>
      <c r="G69" s="187"/>
      <c r="H69" s="181">
        <f t="shared" si="5"/>
        <v>0</v>
      </c>
      <c r="I69" s="179"/>
      <c r="J69" s="180"/>
      <c r="K69" s="181">
        <f t="shared" si="6"/>
        <v>0</v>
      </c>
      <c r="L69" s="3"/>
    </row>
    <row r="70" spans="1:12">
      <c r="A70" s="171" t="s">
        <v>116</v>
      </c>
      <c r="B70" s="172"/>
      <c r="C70" s="192">
        <v>266</v>
      </c>
      <c r="D70" s="174">
        <f t="shared" si="7"/>
        <v>0.10969072164948454</v>
      </c>
      <c r="E70" s="1"/>
      <c r="F70" s="179" t="s">
        <v>130</v>
      </c>
      <c r="G70" s="187"/>
      <c r="H70" s="181">
        <f t="shared" si="5"/>
        <v>0</v>
      </c>
      <c r="I70" s="193" t="s">
        <v>131</v>
      </c>
      <c r="J70" s="194"/>
      <c r="K70" s="195"/>
      <c r="L70" s="3"/>
    </row>
    <row r="71" spans="1:12">
      <c r="A71" s="171" t="s">
        <v>118</v>
      </c>
      <c r="B71" s="172"/>
      <c r="C71" s="192">
        <v>352</v>
      </c>
      <c r="D71" s="174">
        <f t="shared" si="7"/>
        <v>0.14515463917525773</v>
      </c>
      <c r="E71" s="1"/>
      <c r="F71" s="179" t="s">
        <v>132</v>
      </c>
      <c r="G71" s="180"/>
      <c r="H71" s="181">
        <f t="shared" si="5"/>
        <v>0</v>
      </c>
      <c r="I71" s="182" t="s">
        <v>133</v>
      </c>
      <c r="J71" s="187"/>
      <c r="K71" s="181">
        <f t="shared" si="6"/>
        <v>0</v>
      </c>
      <c r="L71" s="3"/>
    </row>
    <row r="72" spans="1:12">
      <c r="A72" s="171" t="s">
        <v>120</v>
      </c>
      <c r="B72" s="172"/>
      <c r="C72" s="192">
        <v>462</v>
      </c>
      <c r="D72" s="174">
        <f t="shared" si="7"/>
        <v>0.19051546391752577</v>
      </c>
      <c r="E72" s="1"/>
      <c r="F72" s="179" t="s">
        <v>134</v>
      </c>
      <c r="G72" s="180"/>
      <c r="H72" s="181">
        <f t="shared" si="5"/>
        <v>0</v>
      </c>
      <c r="I72" s="182"/>
      <c r="J72" s="187"/>
      <c r="K72" s="181">
        <f t="shared" si="6"/>
        <v>0</v>
      </c>
      <c r="L72" s="3"/>
    </row>
    <row r="73" spans="1:12">
      <c r="A73" s="183" t="s">
        <v>122</v>
      </c>
      <c r="B73" s="184"/>
      <c r="C73" s="196">
        <v>355</v>
      </c>
      <c r="D73" s="186">
        <f t="shared" si="7"/>
        <v>0.14639175257731959</v>
      </c>
      <c r="E73" s="1"/>
      <c r="F73" s="179" t="s">
        <v>135</v>
      </c>
      <c r="G73" s="180"/>
      <c r="H73" s="181">
        <f t="shared" si="5"/>
        <v>0</v>
      </c>
      <c r="I73" s="182"/>
      <c r="J73" s="187"/>
      <c r="K73" s="181">
        <f t="shared" si="6"/>
        <v>0</v>
      </c>
      <c r="L73" s="3"/>
    </row>
    <row r="74" spans="1:12">
      <c r="A74" s="19" t="s">
        <v>136</v>
      </c>
      <c r="B74" s="155"/>
      <c r="C74" s="155"/>
      <c r="D74" s="197"/>
      <c r="E74" s="1"/>
      <c r="F74" s="179" t="s">
        <v>137</v>
      </c>
      <c r="G74" s="180"/>
      <c r="H74" s="181">
        <f t="shared" si="5"/>
        <v>0</v>
      </c>
      <c r="I74" s="182"/>
      <c r="J74" s="187"/>
      <c r="K74" s="181">
        <f t="shared" si="6"/>
        <v>0</v>
      </c>
      <c r="L74" s="3"/>
    </row>
    <row r="75" spans="1:12">
      <c r="A75" s="167" t="s">
        <v>113</v>
      </c>
      <c r="B75" s="168"/>
      <c r="C75" s="169">
        <v>9581.3700000000008</v>
      </c>
      <c r="D75" s="170">
        <f>+C75/C58</f>
        <v>0.34207340388272778</v>
      </c>
      <c r="E75" s="1"/>
      <c r="F75" s="179" t="s">
        <v>138</v>
      </c>
      <c r="G75" s="180"/>
      <c r="H75" s="181">
        <f t="shared" si="5"/>
        <v>0</v>
      </c>
      <c r="I75" s="182"/>
      <c r="J75" s="187"/>
      <c r="K75" s="181">
        <f t="shared" si="6"/>
        <v>0</v>
      </c>
      <c r="L75" s="3"/>
    </row>
    <row r="76" spans="1:12">
      <c r="A76" s="171" t="s">
        <v>114</v>
      </c>
      <c r="B76" s="172"/>
      <c r="C76" s="173">
        <v>2398.34</v>
      </c>
      <c r="D76" s="174">
        <f t="shared" ref="D76:D81" si="8">+C76/C59</f>
        <v>0.33199980066224433</v>
      </c>
      <c r="E76" s="1"/>
      <c r="F76" s="179"/>
      <c r="G76" s="180"/>
      <c r="H76" s="181">
        <f t="shared" si="5"/>
        <v>0</v>
      </c>
      <c r="I76" s="179" t="s">
        <v>113</v>
      </c>
      <c r="J76" s="187"/>
      <c r="K76" s="181">
        <f t="shared" si="6"/>
        <v>0</v>
      </c>
      <c r="L76" s="3"/>
    </row>
    <row r="77" spans="1:12">
      <c r="A77" s="171" t="s">
        <v>115</v>
      </c>
      <c r="B77" s="172"/>
      <c r="C77" s="173">
        <v>9519.66</v>
      </c>
      <c r="D77" s="174">
        <f t="shared" si="8"/>
        <v>0.47623159289148931</v>
      </c>
      <c r="E77" s="1"/>
      <c r="F77" s="179"/>
      <c r="G77" s="180"/>
      <c r="H77" s="181">
        <f t="shared" si="5"/>
        <v>0</v>
      </c>
      <c r="I77" s="179" t="s">
        <v>114</v>
      </c>
      <c r="J77" s="187"/>
      <c r="K77" s="181">
        <f t="shared" si="6"/>
        <v>0</v>
      </c>
      <c r="L77" s="3"/>
    </row>
    <row r="78" spans="1:12">
      <c r="A78" s="171" t="s">
        <v>116</v>
      </c>
      <c r="B78" s="172"/>
      <c r="C78" s="173">
        <v>4469.8</v>
      </c>
      <c r="D78" s="174">
        <f t="shared" si="8"/>
        <v>0.34920148811802448</v>
      </c>
      <c r="E78" s="1"/>
      <c r="F78" s="179"/>
      <c r="G78" s="180"/>
      <c r="H78" s="181">
        <f t="shared" si="5"/>
        <v>0</v>
      </c>
      <c r="I78" s="179" t="s">
        <v>115</v>
      </c>
      <c r="J78" s="187"/>
      <c r="K78" s="181">
        <f t="shared" si="6"/>
        <v>0</v>
      </c>
      <c r="L78" s="3"/>
    </row>
    <row r="79" spans="1:12">
      <c r="A79" s="171" t="s">
        <v>118</v>
      </c>
      <c r="B79" s="172"/>
      <c r="C79" s="173">
        <v>6416.65</v>
      </c>
      <c r="D79" s="174">
        <f t="shared" si="8"/>
        <v>0.34698549038099641</v>
      </c>
      <c r="E79" s="198"/>
      <c r="F79" s="179"/>
      <c r="G79" s="180"/>
      <c r="H79" s="181">
        <f t="shared" si="5"/>
        <v>0</v>
      </c>
      <c r="I79" s="179" t="s">
        <v>139</v>
      </c>
      <c r="J79" s="187"/>
      <c r="K79" s="181">
        <f t="shared" si="6"/>
        <v>0</v>
      </c>
      <c r="L79" s="3"/>
    </row>
    <row r="80" spans="1:12">
      <c r="A80" s="171" t="s">
        <v>120</v>
      </c>
      <c r="B80" s="172"/>
      <c r="C80" s="173">
        <v>9638.5</v>
      </c>
      <c r="D80" s="174">
        <f t="shared" si="8"/>
        <v>0.34432867786147187</v>
      </c>
      <c r="E80" s="198"/>
      <c r="F80" s="179"/>
      <c r="G80" s="180"/>
      <c r="H80" s="181">
        <f t="shared" si="5"/>
        <v>0</v>
      </c>
      <c r="I80" s="179" t="s">
        <v>118</v>
      </c>
      <c r="J80" s="187"/>
      <c r="K80" s="181">
        <f t="shared" si="6"/>
        <v>0</v>
      </c>
      <c r="L80" s="3"/>
    </row>
    <row r="81" spans="1:12">
      <c r="A81" s="183" t="s">
        <v>122</v>
      </c>
      <c r="B81" s="184"/>
      <c r="C81" s="185">
        <v>8446.5499999999993</v>
      </c>
      <c r="D81" s="186">
        <f t="shared" si="8"/>
        <v>0.35931833505975835</v>
      </c>
      <c r="E81" s="198"/>
      <c r="F81" s="199" t="s">
        <v>140</v>
      </c>
      <c r="G81" s="200"/>
      <c r="H81" s="201"/>
      <c r="I81" s="202">
        <f>SUM(G63:G80,J63:J69)</f>
        <v>0</v>
      </c>
      <c r="J81" s="203">
        <f>+I81/C19</f>
        <v>0</v>
      </c>
      <c r="K81" s="204"/>
      <c r="L81" s="3"/>
    </row>
    <row r="82" spans="1:12">
      <c r="A82" s="205"/>
      <c r="B82" s="205"/>
      <c r="C82" s="206"/>
      <c r="D82" s="207"/>
      <c r="E82" s="208"/>
      <c r="F82" s="3"/>
      <c r="G82" s="3"/>
      <c r="H82" s="3"/>
      <c r="I82" s="3"/>
      <c r="J82" s="3"/>
      <c r="K82" s="3"/>
      <c r="L82" s="3"/>
    </row>
    <row r="83" spans="1:12">
      <c r="A83" s="205"/>
      <c r="B83" s="205"/>
      <c r="C83" s="206"/>
      <c r="D83" s="207"/>
      <c r="E83" s="208"/>
      <c r="F83" s="3"/>
      <c r="G83" s="3"/>
      <c r="H83" s="3"/>
      <c r="I83" s="3"/>
      <c r="J83" s="3"/>
      <c r="K83" s="3"/>
      <c r="L83" s="3"/>
    </row>
    <row r="84" spans="1:12">
      <c r="A84" s="205"/>
      <c r="B84" s="205"/>
      <c r="C84" s="206"/>
      <c r="D84" s="209"/>
      <c r="E84" s="208"/>
      <c r="F84" s="3"/>
      <c r="G84" s="3"/>
      <c r="H84" s="3"/>
      <c r="I84" s="3"/>
      <c r="J84" s="3"/>
      <c r="K84" s="3"/>
      <c r="L84" s="3"/>
    </row>
    <row r="85" spans="1:12">
      <c r="A85" s="210"/>
      <c r="B85" s="210"/>
      <c r="C85" s="211"/>
      <c r="D85" s="212"/>
      <c r="E85" s="208"/>
      <c r="F85" s="3"/>
      <c r="G85" s="3"/>
      <c r="H85" s="3"/>
      <c r="I85" s="3"/>
      <c r="J85" s="3"/>
      <c r="K85" s="3"/>
      <c r="L85" s="3"/>
    </row>
    <row r="86" spans="1:12">
      <c r="A86" s="213"/>
      <c r="B86" s="213"/>
      <c r="C86" s="213"/>
      <c r="D86" s="213"/>
      <c r="E86" s="208"/>
      <c r="F86" s="3"/>
      <c r="G86" s="3"/>
      <c r="H86" s="3"/>
      <c r="I86" s="3"/>
      <c r="J86" s="3"/>
      <c r="K86" s="3"/>
      <c r="L86" s="3"/>
    </row>
    <row r="87" spans="1:12">
      <c r="A87" s="214"/>
      <c r="B87" s="214"/>
      <c r="C87" s="215"/>
      <c r="D87" s="216"/>
      <c r="E87" s="208"/>
      <c r="F87" s="3"/>
      <c r="G87" s="3"/>
      <c r="H87" s="3"/>
      <c r="I87" s="3"/>
      <c r="J87" s="3"/>
      <c r="K87" s="3"/>
      <c r="L87" s="3"/>
    </row>
    <row r="88" spans="1:12">
      <c r="A88" s="214"/>
      <c r="B88" s="214"/>
      <c r="C88" s="217"/>
      <c r="D88" s="218"/>
      <c r="E88" s="3"/>
      <c r="F88" s="3"/>
      <c r="G88" s="3"/>
      <c r="H88" s="3"/>
      <c r="I88" s="3"/>
      <c r="J88" s="3"/>
      <c r="K88" s="3"/>
      <c r="L88" s="3"/>
    </row>
    <row r="89" spans="1:1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3"/>
      <c r="B90" s="3"/>
      <c r="C90" s="3"/>
      <c r="D90" s="3"/>
      <c r="E90" s="3"/>
      <c r="F90" s="3"/>
      <c r="G90" s="3"/>
      <c r="H90" s="3"/>
      <c r="I90" s="3"/>
      <c r="J90" s="3"/>
      <c r="K90" s="219"/>
      <c r="L90" s="3"/>
    </row>
    <row r="91" spans="1:1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3"/>
      <c r="B103" s="3"/>
      <c r="C103" s="3"/>
      <c r="D103" s="3"/>
      <c r="E103" s="3"/>
      <c r="F103" s="3"/>
      <c r="G103" s="3"/>
      <c r="H103" s="220"/>
      <c r="I103" s="3"/>
      <c r="J103" s="3"/>
      <c r="K103" s="3"/>
      <c r="L103" s="3"/>
    </row>
  </sheetData>
  <customSheetViews>
    <customSheetView guid="{2443864E-3EC0-42CB-9BCC-E86B96EC82D4}">
      <selection sqref="A1:L103"/>
      <pageMargins left="0.7" right="0.7" top="0.75" bottom="0.75" header="0.3" footer="0.3"/>
    </customSheetView>
  </customSheetViews>
  <mergeCells count="49">
    <mergeCell ref="F81:H81"/>
    <mergeCell ref="A57:D57"/>
    <mergeCell ref="F61:K61"/>
    <mergeCell ref="F62:K62"/>
    <mergeCell ref="A66:D66"/>
    <mergeCell ref="I70:K70"/>
    <mergeCell ref="A74:D74"/>
    <mergeCell ref="A51:B51"/>
    <mergeCell ref="A52:B52"/>
    <mergeCell ref="A53:B53"/>
    <mergeCell ref="A54:B54"/>
    <mergeCell ref="A55:B55"/>
    <mergeCell ref="A56:B56"/>
    <mergeCell ref="A46:B46"/>
    <mergeCell ref="A47:B47"/>
    <mergeCell ref="A48:B48"/>
    <mergeCell ref="A49:B49"/>
    <mergeCell ref="A50:D50"/>
    <mergeCell ref="F50:K50"/>
    <mergeCell ref="A27:B27"/>
    <mergeCell ref="F28:K28"/>
    <mergeCell ref="F39:K39"/>
    <mergeCell ref="A43:B43"/>
    <mergeCell ref="A44:B44"/>
    <mergeCell ref="A45:B45"/>
    <mergeCell ref="A19:B19"/>
    <mergeCell ref="A20:B20"/>
    <mergeCell ref="A21:B21"/>
    <mergeCell ref="A22:B22"/>
    <mergeCell ref="A23:B23"/>
    <mergeCell ref="A26:D2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B1:J1"/>
    <mergeCell ref="G2:H2"/>
    <mergeCell ref="G3:H3"/>
    <mergeCell ref="G4:H4"/>
    <mergeCell ref="A6:B6"/>
    <mergeCell ref="F6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3"/>
  <sheetViews>
    <sheetView workbookViewId="0">
      <selection sqref="A1:L103"/>
    </sheetView>
  </sheetViews>
  <sheetFormatPr baseColWidth="10" defaultRowHeight="15"/>
  <sheetData>
    <row r="1" spans="1:12" ht="22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1"/>
      <c r="L1" s="3"/>
    </row>
    <row r="2" spans="1:12" ht="16.5">
      <c r="A2" s="4"/>
      <c r="B2" s="3"/>
      <c r="C2" s="5"/>
      <c r="D2" s="5"/>
      <c r="E2" s="5"/>
      <c r="F2" s="5" t="s">
        <v>2</v>
      </c>
      <c r="G2" s="6"/>
      <c r="H2" s="6"/>
      <c r="I2" s="5"/>
      <c r="J2" s="5"/>
      <c r="K2" s="4"/>
      <c r="L2" s="3"/>
    </row>
    <row r="3" spans="1:12">
      <c r="A3" s="7" t="s">
        <v>3</v>
      </c>
      <c r="B3" s="8"/>
      <c r="C3" s="9"/>
      <c r="D3" s="10"/>
      <c r="E3" s="10"/>
      <c r="F3" s="11" t="s">
        <v>4</v>
      </c>
      <c r="G3" s="12"/>
      <c r="H3" s="12"/>
      <c r="I3" s="13"/>
      <c r="J3" s="14"/>
      <c r="K3" s="14"/>
      <c r="L3" s="3"/>
    </row>
    <row r="4" spans="1:12">
      <c r="A4" s="7" t="s">
        <v>5</v>
      </c>
      <c r="B4" s="8"/>
      <c r="C4" s="9"/>
      <c r="D4" s="10"/>
      <c r="E4" s="10"/>
      <c r="F4" s="11" t="s">
        <v>6</v>
      </c>
      <c r="G4" s="15"/>
      <c r="H4" s="15"/>
      <c r="I4" s="13"/>
      <c r="J4" s="11" t="s">
        <v>7</v>
      </c>
      <c r="K4" s="16"/>
      <c r="L4" s="3"/>
    </row>
    <row r="5" spans="1:12" ht="15.75" thickBot="1">
      <c r="A5" s="17"/>
      <c r="B5" s="17"/>
      <c r="C5" s="17"/>
      <c r="D5" s="17"/>
      <c r="E5" s="17"/>
      <c r="F5" s="17"/>
      <c r="G5" s="17"/>
      <c r="H5" s="17"/>
      <c r="I5" s="18"/>
      <c r="J5" s="17"/>
      <c r="K5" s="17"/>
      <c r="L5" s="3"/>
    </row>
    <row r="6" spans="1:12">
      <c r="A6" s="19" t="s">
        <v>8</v>
      </c>
      <c r="B6" s="20"/>
      <c r="C6" s="21" t="s">
        <v>9</v>
      </c>
      <c r="D6" s="21" t="s">
        <v>10</v>
      </c>
      <c r="E6" s="1"/>
      <c r="F6" s="22" t="s">
        <v>11</v>
      </c>
      <c r="G6" s="23"/>
      <c r="H6" s="23"/>
      <c r="I6" s="23"/>
      <c r="J6" s="23"/>
      <c r="K6" s="24"/>
      <c r="L6" s="3"/>
    </row>
    <row r="7" spans="1:12">
      <c r="A7" s="25" t="s">
        <v>12</v>
      </c>
      <c r="B7" s="26"/>
      <c r="C7" s="27">
        <v>80445.94</v>
      </c>
      <c r="D7" s="28"/>
      <c r="E7" s="1"/>
      <c r="F7" s="29" t="s">
        <v>13</v>
      </c>
      <c r="G7" s="30" t="s">
        <v>14</v>
      </c>
      <c r="H7" s="30" t="s">
        <v>15</v>
      </c>
      <c r="I7" s="30" t="s">
        <v>16</v>
      </c>
      <c r="J7" s="30" t="s">
        <v>17</v>
      </c>
      <c r="K7" s="31"/>
      <c r="L7" s="3"/>
    </row>
    <row r="8" spans="1:12" ht="15.75">
      <c r="A8" s="32" t="s">
        <v>18</v>
      </c>
      <c r="B8" s="33"/>
      <c r="C8" s="34"/>
      <c r="D8" s="35">
        <f>+C8/C7</f>
        <v>0</v>
      </c>
      <c r="E8" s="1"/>
      <c r="F8" s="36" t="s">
        <v>19</v>
      </c>
      <c r="G8" s="37">
        <v>1120</v>
      </c>
      <c r="H8" s="38">
        <v>33799.93</v>
      </c>
      <c r="I8" s="39">
        <f t="shared" ref="I8:I25" si="0">IF(G8&gt;0,(H8/G8),0)</f>
        <v>30.178508928571429</v>
      </c>
      <c r="J8" s="40">
        <f>+H8/$C$12</f>
        <v>0.48738219480063255</v>
      </c>
      <c r="K8" s="41"/>
      <c r="L8" s="42"/>
    </row>
    <row r="9" spans="1:12" ht="15.75">
      <c r="A9" s="32" t="s">
        <v>20</v>
      </c>
      <c r="B9" s="33"/>
      <c r="C9" s="43">
        <f>((C7/1.16)-C7)*-1</f>
        <v>11095.99172413793</v>
      </c>
      <c r="D9" s="35"/>
      <c r="E9" s="1"/>
      <c r="F9" s="36" t="s">
        <v>21</v>
      </c>
      <c r="G9" s="37">
        <v>72</v>
      </c>
      <c r="H9" s="44">
        <v>3046.61</v>
      </c>
      <c r="I9" s="39">
        <f t="shared" si="0"/>
        <v>42.314027777777781</v>
      </c>
      <c r="J9" s="40">
        <f t="shared" ref="J9:J25" si="1">+H9/$C$12</f>
        <v>4.3930962830442406E-2</v>
      </c>
      <c r="K9" s="41"/>
      <c r="L9" s="42"/>
    </row>
    <row r="10" spans="1:12" ht="15.75">
      <c r="A10" s="32" t="s">
        <v>22</v>
      </c>
      <c r="B10" s="33"/>
      <c r="C10" s="45">
        <f>+C7-C11</f>
        <v>73217.94</v>
      </c>
      <c r="D10" s="46">
        <f>+C10/C7</f>
        <v>0.9101508416708165</v>
      </c>
      <c r="E10" s="1"/>
      <c r="F10" s="36" t="s">
        <v>23</v>
      </c>
      <c r="G10" s="37">
        <v>69</v>
      </c>
      <c r="H10" s="44">
        <v>3023.18</v>
      </c>
      <c r="I10" s="39">
        <f t="shared" si="0"/>
        <v>43.814202898550725</v>
      </c>
      <c r="J10" s="40">
        <f t="shared" si="1"/>
        <v>4.359311110044832E-2</v>
      </c>
      <c r="K10" s="41"/>
      <c r="L10" s="42"/>
    </row>
    <row r="11" spans="1:12" ht="15.75">
      <c r="A11" s="47" t="s">
        <v>24</v>
      </c>
      <c r="B11" s="48"/>
      <c r="C11" s="49">
        <v>7228</v>
      </c>
      <c r="D11" s="50">
        <f>+C11/C7</f>
        <v>8.984915832918354E-2</v>
      </c>
      <c r="E11" s="1"/>
      <c r="F11" s="36" t="s">
        <v>25</v>
      </c>
      <c r="G11" s="37">
        <v>209</v>
      </c>
      <c r="H11" s="44">
        <v>4548.63</v>
      </c>
      <c r="I11" s="39">
        <f t="shared" si="0"/>
        <v>21.763779904306222</v>
      </c>
      <c r="J11" s="40">
        <f t="shared" si="1"/>
        <v>6.5589522603626729E-2</v>
      </c>
      <c r="K11" s="41"/>
      <c r="L11" s="42"/>
    </row>
    <row r="12" spans="1:12" ht="15.75">
      <c r="A12" s="51" t="s">
        <v>26</v>
      </c>
      <c r="B12" s="52"/>
      <c r="C12" s="53">
        <f>+C7-C9-C8</f>
        <v>69349.948275862072</v>
      </c>
      <c r="D12" s="54">
        <v>1</v>
      </c>
      <c r="E12" s="1"/>
      <c r="F12" s="36" t="s">
        <v>27</v>
      </c>
      <c r="G12" s="37">
        <v>227</v>
      </c>
      <c r="H12" s="44">
        <v>6088</v>
      </c>
      <c r="I12" s="39">
        <f t="shared" si="0"/>
        <v>26.819383259911895</v>
      </c>
      <c r="J12" s="40">
        <f t="shared" si="1"/>
        <v>8.7786655237044903E-2</v>
      </c>
      <c r="K12" s="41"/>
      <c r="L12" s="42"/>
    </row>
    <row r="13" spans="1:12" ht="15.75">
      <c r="A13" s="32" t="s">
        <v>28</v>
      </c>
      <c r="B13" s="33"/>
      <c r="C13" s="55">
        <f>+H19+H21</f>
        <v>4341.25</v>
      </c>
      <c r="D13" s="56">
        <f>+C13/C$12</f>
        <v>6.2599181512454194E-2</v>
      </c>
      <c r="E13" s="1"/>
      <c r="F13" s="36" t="s">
        <v>29</v>
      </c>
      <c r="G13" s="37">
        <v>85</v>
      </c>
      <c r="H13" s="44">
        <v>3903.33</v>
      </c>
      <c r="I13" s="39">
        <f t="shared" si="0"/>
        <v>45.921529411764702</v>
      </c>
      <c r="J13" s="40">
        <f t="shared" si="1"/>
        <v>5.628454089789988E-2</v>
      </c>
      <c r="K13" s="41"/>
      <c r="L13" s="42"/>
    </row>
    <row r="14" spans="1:12" ht="15.75">
      <c r="A14" s="32" t="s">
        <v>30</v>
      </c>
      <c r="B14" s="33"/>
      <c r="C14" s="57">
        <f>+C12-C13-C15</f>
        <v>59449.198275862072</v>
      </c>
      <c r="D14" s="56">
        <f>+C14/C$12</f>
        <v>0.85723493317375621</v>
      </c>
      <c r="E14" s="1"/>
      <c r="F14" s="36" t="s">
        <v>31</v>
      </c>
      <c r="G14" s="37">
        <v>41</v>
      </c>
      <c r="H14" s="44">
        <v>1242.3</v>
      </c>
      <c r="I14" s="39">
        <f t="shared" si="0"/>
        <v>30.299999999999997</v>
      </c>
      <c r="J14" s="40">
        <f t="shared" si="1"/>
        <v>1.7913495696613154E-2</v>
      </c>
      <c r="K14" s="41"/>
      <c r="L14" s="42"/>
    </row>
    <row r="15" spans="1:12" ht="15.75">
      <c r="A15" s="32" t="s">
        <v>32</v>
      </c>
      <c r="B15" s="33"/>
      <c r="C15" s="55">
        <f>+H16</f>
        <v>5559.5</v>
      </c>
      <c r="D15" s="56">
        <f>+C15/C$12</f>
        <v>8.0165885313789598E-2</v>
      </c>
      <c r="E15" s="1"/>
      <c r="F15" s="36" t="s">
        <v>33</v>
      </c>
      <c r="G15" s="37">
        <v>0</v>
      </c>
      <c r="H15" s="44">
        <v>0</v>
      </c>
      <c r="I15" s="39">
        <f t="shared" si="0"/>
        <v>0</v>
      </c>
      <c r="J15" s="40">
        <f t="shared" si="1"/>
        <v>0</v>
      </c>
      <c r="K15" s="41"/>
      <c r="L15" s="42"/>
    </row>
    <row r="16" spans="1:12" ht="15.75">
      <c r="A16" s="47" t="s">
        <v>34</v>
      </c>
      <c r="B16" s="48"/>
      <c r="C16" s="58"/>
      <c r="D16" s="59">
        <f>+C16/C$12</f>
        <v>0</v>
      </c>
      <c r="E16" s="1"/>
      <c r="F16" s="36" t="s">
        <v>35</v>
      </c>
      <c r="G16" s="37">
        <v>29</v>
      </c>
      <c r="H16" s="44">
        <v>5559.5</v>
      </c>
      <c r="I16" s="39">
        <f t="shared" si="0"/>
        <v>191.70689655172413</v>
      </c>
      <c r="J16" s="40">
        <f t="shared" si="1"/>
        <v>8.0165885313789598E-2</v>
      </c>
      <c r="K16" s="41"/>
      <c r="L16" s="42"/>
    </row>
    <row r="17" spans="1:12" ht="15.75">
      <c r="A17" s="60" t="s">
        <v>36</v>
      </c>
      <c r="B17" s="61"/>
      <c r="C17" s="62">
        <v>57149</v>
      </c>
      <c r="D17" s="63">
        <f>((C$12-C17)/C17)</f>
        <v>0.21349364426082823</v>
      </c>
      <c r="E17" s="1"/>
      <c r="F17" s="36" t="s">
        <v>37</v>
      </c>
      <c r="G17" s="37">
        <v>177</v>
      </c>
      <c r="H17" s="44">
        <v>1582.71</v>
      </c>
      <c r="I17" s="39">
        <f t="shared" si="0"/>
        <v>8.9418644067796613</v>
      </c>
      <c r="J17" s="40">
        <f t="shared" si="1"/>
        <v>2.2822079025989379E-2</v>
      </c>
      <c r="K17" s="41"/>
      <c r="L17" s="42"/>
    </row>
    <row r="18" spans="1:12" ht="15.75">
      <c r="A18" s="47" t="s">
        <v>38</v>
      </c>
      <c r="B18" s="64"/>
      <c r="C18" s="65">
        <v>76243</v>
      </c>
      <c r="D18" s="59">
        <f>((C$12-C18)/C18)</f>
        <v>-9.0408978189970582E-2</v>
      </c>
      <c r="E18" s="1"/>
      <c r="F18" s="36" t="s">
        <v>39</v>
      </c>
      <c r="G18" s="37">
        <v>53</v>
      </c>
      <c r="H18" s="38">
        <v>1493.15</v>
      </c>
      <c r="I18" s="39">
        <f t="shared" si="0"/>
        <v>28.172641509433966</v>
      </c>
      <c r="J18" s="40">
        <f t="shared" si="1"/>
        <v>2.153065773114218E-2</v>
      </c>
      <c r="K18" s="41"/>
      <c r="L18" s="42"/>
    </row>
    <row r="19" spans="1:12" ht="15.75">
      <c r="A19" s="25" t="s">
        <v>40</v>
      </c>
      <c r="B19" s="26"/>
      <c r="C19" s="66">
        <v>1203</v>
      </c>
      <c r="D19" s="28"/>
      <c r="E19" s="1"/>
      <c r="F19" s="36" t="s">
        <v>41</v>
      </c>
      <c r="G19" s="37">
        <v>62</v>
      </c>
      <c r="H19" s="44">
        <v>2830.08</v>
      </c>
      <c r="I19" s="39">
        <f t="shared" si="0"/>
        <v>45.646451612903228</v>
      </c>
      <c r="J19" s="40">
        <f t="shared" si="1"/>
        <v>4.0808682203228648E-2</v>
      </c>
      <c r="K19" s="41"/>
      <c r="L19" s="42"/>
    </row>
    <row r="20" spans="1:12" ht="15.75">
      <c r="A20" s="32" t="s">
        <v>42</v>
      </c>
      <c r="B20" s="33"/>
      <c r="C20" s="67">
        <v>868</v>
      </c>
      <c r="D20" s="68">
        <f>((C$19-C20)/C20)</f>
        <v>0.38594470046082952</v>
      </c>
      <c r="E20" s="1"/>
      <c r="F20" s="36" t="s">
        <v>43</v>
      </c>
      <c r="G20" s="37">
        <v>1</v>
      </c>
      <c r="H20" s="44">
        <v>68.099999999999994</v>
      </c>
      <c r="I20" s="39">
        <f t="shared" si="0"/>
        <v>68.099999999999994</v>
      </c>
      <c r="J20" s="40">
        <f t="shared" si="1"/>
        <v>9.819762190608997E-4</v>
      </c>
      <c r="K20" s="41"/>
      <c r="L20" s="42"/>
    </row>
    <row r="21" spans="1:12" ht="15.75">
      <c r="A21" s="32" t="s">
        <v>44</v>
      </c>
      <c r="B21" s="33"/>
      <c r="C21" s="67">
        <v>1031</v>
      </c>
      <c r="D21" s="68">
        <f>((C$19-C21)/C21)</f>
        <v>0.16682832201745879</v>
      </c>
      <c r="E21" s="1"/>
      <c r="F21" s="36" t="s">
        <v>45</v>
      </c>
      <c r="G21" s="37">
        <v>39</v>
      </c>
      <c r="H21" s="44">
        <v>1511.17</v>
      </c>
      <c r="I21" s="39">
        <f t="shared" si="0"/>
        <v>38.747948717948717</v>
      </c>
      <c r="J21" s="40">
        <f t="shared" si="1"/>
        <v>2.1790499309225549E-2</v>
      </c>
      <c r="K21" s="41"/>
      <c r="L21" s="42"/>
    </row>
    <row r="22" spans="1:12" ht="15.75">
      <c r="A22" s="51" t="s">
        <v>46</v>
      </c>
      <c r="B22" s="52"/>
      <c r="C22" s="53">
        <f>+C12/C19</f>
        <v>57.647504801215355</v>
      </c>
      <c r="D22" s="68"/>
      <c r="E22" s="1"/>
      <c r="F22" s="36" t="s">
        <v>47</v>
      </c>
      <c r="G22" s="37">
        <v>79</v>
      </c>
      <c r="H22" s="44">
        <v>1793.05</v>
      </c>
      <c r="I22" s="39">
        <f t="shared" si="0"/>
        <v>22.696835443037973</v>
      </c>
      <c r="J22" s="40">
        <f t="shared" si="1"/>
        <v>2.5855102196580708E-2</v>
      </c>
      <c r="K22" s="41"/>
      <c r="L22" s="42"/>
    </row>
    <row r="23" spans="1:12" ht="15.75">
      <c r="A23" s="32" t="s">
        <v>48</v>
      </c>
      <c r="B23" s="69"/>
      <c r="C23" s="70">
        <v>65</v>
      </c>
      <c r="D23" s="68">
        <f>((C$22-C23)/C23)</f>
        <v>-0.11311531075053299</v>
      </c>
      <c r="E23" s="1"/>
      <c r="F23" s="36" t="s">
        <v>49</v>
      </c>
      <c r="G23" s="37">
        <v>0</v>
      </c>
      <c r="H23" s="44">
        <v>0</v>
      </c>
      <c r="I23" s="39">
        <f t="shared" si="0"/>
        <v>0</v>
      </c>
      <c r="J23" s="40">
        <f t="shared" si="1"/>
        <v>0</v>
      </c>
      <c r="K23" s="41"/>
      <c r="L23" s="42"/>
    </row>
    <row r="24" spans="1:12" ht="15.75">
      <c r="A24" s="71"/>
      <c r="B24" s="72"/>
      <c r="C24" s="73">
        <f>C22-C23</f>
        <v>-7.352495198784645</v>
      </c>
      <c r="D24" s="68"/>
      <c r="E24" s="1"/>
      <c r="F24" s="36" t="s">
        <v>50</v>
      </c>
      <c r="G24" s="37">
        <v>195</v>
      </c>
      <c r="H24" s="44">
        <v>1266.45</v>
      </c>
      <c r="I24" s="39">
        <f t="shared" si="0"/>
        <v>6.4946153846153845</v>
      </c>
      <c r="J24" s="40">
        <f>+H24/$C$12</f>
        <v>1.8261729554033428E-2</v>
      </c>
      <c r="K24" s="41"/>
      <c r="L24" s="42"/>
    </row>
    <row r="25" spans="1:12" ht="15.75">
      <c r="A25" s="74" t="s">
        <v>51</v>
      </c>
      <c r="B25" s="75"/>
      <c r="C25" s="76">
        <f>+H32</f>
        <v>60</v>
      </c>
      <c r="D25" s="77">
        <f>((C$22-C25)/C25)</f>
        <v>-3.9208253313077417E-2</v>
      </c>
      <c r="E25" s="1" t="s">
        <v>52</v>
      </c>
      <c r="F25" s="36" t="s">
        <v>53</v>
      </c>
      <c r="G25" s="78">
        <v>204</v>
      </c>
      <c r="H25" s="44">
        <v>0</v>
      </c>
      <c r="I25" s="39">
        <f t="shared" si="0"/>
        <v>0</v>
      </c>
      <c r="J25" s="40">
        <f t="shared" si="1"/>
        <v>0</v>
      </c>
      <c r="K25" s="41"/>
      <c r="L25" s="42"/>
    </row>
    <row r="26" spans="1:12" ht="16.5" thickBot="1">
      <c r="A26" s="79" t="s">
        <v>54</v>
      </c>
      <c r="B26" s="80"/>
      <c r="C26" s="80"/>
      <c r="D26" s="81"/>
      <c r="E26" s="1"/>
      <c r="F26" s="82" t="s">
        <v>55</v>
      </c>
      <c r="G26" s="83">
        <v>202</v>
      </c>
      <c r="H26" s="84">
        <v>4266.24</v>
      </c>
      <c r="I26" s="85">
        <f>IF(G26&gt;0,(H26/G26),0)</f>
        <v>21.119999999999997</v>
      </c>
      <c r="J26" s="86">
        <f>+H26/$C$12</f>
        <v>6.1517565709344676E-2</v>
      </c>
      <c r="K26" s="87"/>
      <c r="L26" s="42"/>
    </row>
    <row r="27" spans="1:12" ht="15.75" thickBot="1">
      <c r="A27" s="88" t="s">
        <v>56</v>
      </c>
      <c r="B27" s="89"/>
      <c r="C27" s="90"/>
      <c r="D27" s="91"/>
      <c r="E27" s="1"/>
      <c r="F27" s="92" t="s">
        <v>57</v>
      </c>
      <c r="G27" s="93">
        <f>SUM(G8:G26)</f>
        <v>2864</v>
      </c>
      <c r="H27" s="94">
        <f>SUM(H8:H26)</f>
        <v>76022.430000000008</v>
      </c>
      <c r="I27" s="95">
        <f>+H27/G27</f>
        <v>26.544144553072627</v>
      </c>
      <c r="J27" s="96">
        <f>SUM(J8:J26)</f>
        <v>1.096214660429103</v>
      </c>
      <c r="K27" s="97"/>
      <c r="L27" s="3"/>
    </row>
    <row r="28" spans="1:12" ht="15.75" thickBot="1">
      <c r="A28" s="98" t="s">
        <v>58</v>
      </c>
      <c r="B28" s="99"/>
      <c r="C28" s="90">
        <v>5400.39</v>
      </c>
      <c r="D28" s="100"/>
      <c r="E28" s="1"/>
      <c r="F28" s="22" t="s">
        <v>59</v>
      </c>
      <c r="G28" s="23"/>
      <c r="H28" s="23"/>
      <c r="I28" s="23"/>
      <c r="J28" s="23"/>
      <c r="K28" s="24"/>
      <c r="L28" s="3"/>
    </row>
    <row r="29" spans="1:12">
      <c r="A29" s="98" t="s">
        <v>60</v>
      </c>
      <c r="B29" s="99"/>
      <c r="C29" s="101">
        <v>111.27</v>
      </c>
      <c r="D29" s="102"/>
      <c r="E29" s="1"/>
      <c r="F29" s="29"/>
      <c r="G29" s="30" t="s">
        <v>61</v>
      </c>
      <c r="H29" s="30" t="s">
        <v>62</v>
      </c>
      <c r="I29" s="30"/>
      <c r="J29" s="30" t="s">
        <v>63</v>
      </c>
      <c r="K29" s="30" t="s">
        <v>64</v>
      </c>
      <c r="L29" s="3"/>
    </row>
    <row r="30" spans="1:12" ht="15.75">
      <c r="A30" s="98" t="s">
        <v>60</v>
      </c>
      <c r="B30" s="99"/>
      <c r="C30" s="101">
        <v>104.3</v>
      </c>
      <c r="D30" s="102"/>
      <c r="E30" s="1"/>
      <c r="F30" s="103" t="s">
        <v>65</v>
      </c>
      <c r="G30" s="104">
        <f>+C12</f>
        <v>69349.948275862072</v>
      </c>
      <c r="H30" s="105">
        <v>100789.95</v>
      </c>
      <c r="I30" s="106" t="s">
        <v>66</v>
      </c>
      <c r="J30" s="107">
        <f t="shared" ref="J30:J37" si="2">((G30-H30)/H30)</f>
        <v>-0.31193587975922127</v>
      </c>
      <c r="K30" s="108">
        <f t="shared" ref="K30:K37" si="3">+G30-H30</f>
        <v>-31440.001724137925</v>
      </c>
      <c r="L30" s="3"/>
    </row>
    <row r="31" spans="1:12" ht="15.75">
      <c r="A31" s="98" t="s">
        <v>60</v>
      </c>
      <c r="B31" s="99"/>
      <c r="C31" s="101">
        <v>88.93</v>
      </c>
      <c r="D31" s="102"/>
      <c r="E31" s="1"/>
      <c r="F31" s="103" t="s">
        <v>67</v>
      </c>
      <c r="G31" s="109">
        <f>+C19</f>
        <v>1203</v>
      </c>
      <c r="H31" s="110">
        <f>+(C21*5%)+C21</f>
        <v>1082.55</v>
      </c>
      <c r="I31" s="111" t="s">
        <v>68</v>
      </c>
      <c r="J31" s="107">
        <f t="shared" si="2"/>
        <v>0.11126506858805603</v>
      </c>
      <c r="K31" s="112">
        <f t="shared" si="3"/>
        <v>120.45000000000005</v>
      </c>
      <c r="L31" s="3"/>
    </row>
    <row r="32" spans="1:12" ht="15.75">
      <c r="A32" s="98" t="s">
        <v>60</v>
      </c>
      <c r="B32" s="99"/>
      <c r="C32" s="101">
        <v>56.27</v>
      </c>
      <c r="D32" s="102"/>
      <c r="E32" s="1"/>
      <c r="F32" s="103" t="s">
        <v>46</v>
      </c>
      <c r="G32" s="104">
        <f>+C22</f>
        <v>57.647504801215355</v>
      </c>
      <c r="H32" s="104">
        <v>60</v>
      </c>
      <c r="I32" s="113" t="s">
        <v>66</v>
      </c>
      <c r="J32" s="107">
        <f t="shared" si="2"/>
        <v>-3.9208253313077417E-2</v>
      </c>
      <c r="K32" s="108">
        <f t="shared" si="3"/>
        <v>-2.352495198784645</v>
      </c>
      <c r="L32" s="3"/>
    </row>
    <row r="33" spans="1:12" ht="15.75">
      <c r="A33" s="71" t="s">
        <v>69</v>
      </c>
      <c r="B33" s="99"/>
      <c r="C33" s="101"/>
      <c r="D33" s="102"/>
      <c r="E33" s="1"/>
      <c r="F33" s="103" t="s">
        <v>70</v>
      </c>
      <c r="G33" s="104">
        <f>+H16</f>
        <v>5559.5</v>
      </c>
      <c r="H33" s="104">
        <f>+G30*10%</f>
        <v>6934.994827586208</v>
      </c>
      <c r="I33" s="114" t="s">
        <v>71</v>
      </c>
      <c r="J33" s="107">
        <f t="shared" si="2"/>
        <v>-0.19834114686210405</v>
      </c>
      <c r="K33" s="108">
        <f t="shared" si="3"/>
        <v>-1375.494827586208</v>
      </c>
      <c r="L33" s="3"/>
    </row>
    <row r="34" spans="1:12" ht="15.75">
      <c r="A34" s="71" t="s">
        <v>72</v>
      </c>
      <c r="B34" s="99"/>
      <c r="C34" s="101"/>
      <c r="D34" s="102"/>
      <c r="E34" s="1"/>
      <c r="F34" s="103" t="s">
        <v>73</v>
      </c>
      <c r="G34" s="104">
        <f>+H24</f>
        <v>1266.45</v>
      </c>
      <c r="H34" s="104">
        <f>+G30*2%</f>
        <v>1386.9989655172415</v>
      </c>
      <c r="I34" s="114" t="s">
        <v>74</v>
      </c>
      <c r="J34" s="107">
        <f t="shared" si="2"/>
        <v>-8.6913522298328563E-2</v>
      </c>
      <c r="K34" s="108">
        <f t="shared" si="3"/>
        <v>-120.54896551724141</v>
      </c>
      <c r="L34" s="3"/>
    </row>
    <row r="35" spans="1:12" ht="15.75">
      <c r="A35" s="71" t="s">
        <v>72</v>
      </c>
      <c r="B35" s="115"/>
      <c r="C35" s="101"/>
      <c r="D35" s="102"/>
      <c r="E35" s="1"/>
      <c r="F35" s="103" t="s">
        <v>75</v>
      </c>
      <c r="G35" s="104">
        <f>+C52</f>
        <v>234.74</v>
      </c>
      <c r="H35" s="104">
        <f>+G30*0.2%</f>
        <v>138.69989655172415</v>
      </c>
      <c r="I35" s="116" t="s">
        <v>76</v>
      </c>
      <c r="J35" s="107">
        <f t="shared" si="2"/>
        <v>0.69243096668396187</v>
      </c>
      <c r="K35" s="108">
        <f t="shared" si="3"/>
        <v>96.040103448275858</v>
      </c>
      <c r="L35" s="3"/>
    </row>
    <row r="36" spans="1:12" ht="15.75">
      <c r="A36" s="71" t="s">
        <v>72</v>
      </c>
      <c r="B36" s="115"/>
      <c r="C36" s="101"/>
      <c r="D36" s="102"/>
      <c r="E36" s="1"/>
      <c r="F36" s="103" t="s">
        <v>77</v>
      </c>
      <c r="G36" s="104">
        <f>+C53</f>
        <v>0</v>
      </c>
      <c r="H36" s="104">
        <f>+G30*0.5%</f>
        <v>346.74974137931036</v>
      </c>
      <c r="I36" s="116" t="s">
        <v>78</v>
      </c>
      <c r="J36" s="107">
        <f t="shared" si="2"/>
        <v>-1</v>
      </c>
      <c r="K36" s="108">
        <f t="shared" si="3"/>
        <v>-346.74974137931036</v>
      </c>
      <c r="L36" s="3"/>
    </row>
    <row r="37" spans="1:12" ht="16.5" thickBot="1">
      <c r="A37" s="71" t="s">
        <v>72</v>
      </c>
      <c r="B37" s="99"/>
      <c r="C37" s="101"/>
      <c r="D37" s="102"/>
      <c r="E37" s="1"/>
      <c r="F37" s="103" t="s">
        <v>79</v>
      </c>
      <c r="G37" s="104">
        <f>+C45</f>
        <v>5761.1600000000017</v>
      </c>
      <c r="H37" s="104">
        <f>+C12*34%</f>
        <v>23578.982413793106</v>
      </c>
      <c r="I37" s="117" t="s">
        <v>80</v>
      </c>
      <c r="J37" s="107">
        <f t="shared" si="2"/>
        <v>-0.75566545243997163</v>
      </c>
      <c r="K37" s="108">
        <f t="shared" si="3"/>
        <v>-17817.822413793103</v>
      </c>
      <c r="L37" s="3"/>
    </row>
    <row r="38" spans="1:12" ht="15.75" thickBot="1">
      <c r="A38" s="71" t="s">
        <v>72</v>
      </c>
      <c r="B38" s="99"/>
      <c r="C38" s="101"/>
      <c r="D38" s="102"/>
      <c r="E38" s="1"/>
      <c r="F38" s="118"/>
      <c r="G38" s="119"/>
      <c r="H38" s="119"/>
      <c r="I38" s="119"/>
      <c r="J38" s="119"/>
      <c r="K38" s="120"/>
      <c r="L38" s="3"/>
    </row>
    <row r="39" spans="1:12" ht="15.75" thickBot="1">
      <c r="A39" s="121" t="s">
        <v>81</v>
      </c>
      <c r="B39" s="122"/>
      <c r="C39" s="101"/>
      <c r="D39" s="123"/>
      <c r="E39" s="1"/>
      <c r="F39" s="124" t="s">
        <v>82</v>
      </c>
      <c r="G39" s="125"/>
      <c r="H39" s="125"/>
      <c r="I39" s="125"/>
      <c r="J39" s="125"/>
      <c r="K39" s="126"/>
      <c r="L39" s="3"/>
    </row>
    <row r="40" spans="1:12">
      <c r="A40" s="121" t="s">
        <v>81</v>
      </c>
      <c r="B40" s="122"/>
      <c r="C40" s="101"/>
      <c r="D40" s="123"/>
      <c r="E40" s="1"/>
      <c r="F40" s="127" t="s">
        <v>83</v>
      </c>
      <c r="G40" s="127" t="s">
        <v>84</v>
      </c>
      <c r="H40" s="127" t="s">
        <v>85</v>
      </c>
      <c r="I40" s="127" t="s">
        <v>86</v>
      </c>
      <c r="J40" s="128" t="s">
        <v>87</v>
      </c>
      <c r="K40" s="127" t="s">
        <v>88</v>
      </c>
      <c r="L40" s="3"/>
    </row>
    <row r="41" spans="1:12">
      <c r="A41" s="121" t="s">
        <v>81</v>
      </c>
      <c r="B41" s="122"/>
      <c r="C41" s="101"/>
      <c r="D41" s="123"/>
      <c r="E41" s="1"/>
      <c r="F41" s="129" t="s">
        <v>89</v>
      </c>
      <c r="G41" s="130"/>
      <c r="H41" s="131"/>
      <c r="I41" s="131"/>
      <c r="J41" s="131"/>
      <c r="K41" s="130"/>
      <c r="L41" s="3"/>
    </row>
    <row r="42" spans="1:12">
      <c r="A42" s="121" t="s">
        <v>81</v>
      </c>
      <c r="B42" s="122"/>
      <c r="C42" s="101"/>
      <c r="D42" s="132"/>
      <c r="E42" s="1"/>
      <c r="F42" s="129" t="s">
        <v>90</v>
      </c>
      <c r="G42" s="131"/>
      <c r="H42" s="131"/>
      <c r="I42" s="131"/>
      <c r="J42" s="131"/>
      <c r="K42" s="131"/>
      <c r="L42" s="3"/>
    </row>
    <row r="43" spans="1:12" ht="15.75" thickBot="1">
      <c r="A43" s="60" t="s">
        <v>91</v>
      </c>
      <c r="B43" s="133"/>
      <c r="C43" s="134">
        <f>SUM(C28:C42)</f>
        <v>5761.1600000000017</v>
      </c>
      <c r="D43" s="63"/>
      <c r="E43" s="1"/>
      <c r="F43" s="129" t="s">
        <v>92</v>
      </c>
      <c r="G43" s="130"/>
      <c r="H43" s="131"/>
      <c r="I43" s="131"/>
      <c r="J43" s="131"/>
      <c r="K43" s="130"/>
      <c r="L43" s="3"/>
    </row>
    <row r="44" spans="1:12" ht="15.75" thickBot="1">
      <c r="A44" s="88" t="s">
        <v>93</v>
      </c>
      <c r="B44" s="89"/>
      <c r="C44" s="90"/>
      <c r="D44" s="56"/>
      <c r="E44" s="1"/>
      <c r="F44" s="129" t="s">
        <v>94</v>
      </c>
      <c r="G44" s="135">
        <f>G41+G42-G43</f>
        <v>0</v>
      </c>
      <c r="H44" s="135">
        <f>H41+H42-H43</f>
        <v>0</v>
      </c>
      <c r="I44" s="135">
        <f>I41+I42-I43</f>
        <v>0</v>
      </c>
      <c r="J44" s="135">
        <f>J41+J42-J43</f>
        <v>0</v>
      </c>
      <c r="K44" s="135">
        <f>K41+K42-K43</f>
        <v>0</v>
      </c>
      <c r="L44" s="3"/>
    </row>
    <row r="45" spans="1:12" ht="15.75" thickBot="1">
      <c r="A45" s="136" t="s">
        <v>95</v>
      </c>
      <c r="B45" s="137"/>
      <c r="C45" s="138">
        <f>+(C27+C43)-C44</f>
        <v>5761.1600000000017</v>
      </c>
      <c r="D45" s="139">
        <f>+C45/C$12</f>
        <v>8.3073746170409621E-2</v>
      </c>
      <c r="E45" s="1"/>
      <c r="F45" s="129" t="s">
        <v>96</v>
      </c>
      <c r="G45" s="140"/>
      <c r="H45" s="140"/>
      <c r="I45" s="140"/>
      <c r="J45" s="140"/>
      <c r="K45" s="140"/>
      <c r="L45" s="3"/>
    </row>
    <row r="46" spans="1:12" ht="15.75" thickBot="1">
      <c r="A46" s="136"/>
      <c r="B46" s="137"/>
      <c r="C46" s="141"/>
      <c r="D46" s="142"/>
      <c r="E46" s="1"/>
      <c r="F46" s="143" t="s">
        <v>97</v>
      </c>
      <c r="G46" s="144">
        <f>G45+G48-G44-G49</f>
        <v>0</v>
      </c>
      <c r="H46" s="144">
        <f>H45+H48-H44-H49</f>
        <v>0</v>
      </c>
      <c r="I46" s="144">
        <f>I45+I48-I44-I49</f>
        <v>0</v>
      </c>
      <c r="J46" s="144">
        <f>J45+J48-J44-J49</f>
        <v>0</v>
      </c>
      <c r="K46" s="144">
        <f>K45+K48-K44-K49</f>
        <v>0</v>
      </c>
      <c r="L46" s="3"/>
    </row>
    <row r="47" spans="1:12">
      <c r="A47" s="32" t="s">
        <v>98</v>
      </c>
      <c r="B47" s="33"/>
      <c r="C47" s="145">
        <f>+C75+C76+C77+C78+C79+C80+C81</f>
        <v>24563.27</v>
      </c>
      <c r="D47" s="146">
        <f>+C47/C$12</f>
        <v>0.35419305436669646</v>
      </c>
      <c r="E47" s="1"/>
      <c r="F47" s="129" t="s">
        <v>99</v>
      </c>
      <c r="G47" s="147">
        <f>+G46*I10</f>
        <v>0</v>
      </c>
      <c r="H47" s="147">
        <f>+H46*$I$8</f>
        <v>0</v>
      </c>
      <c r="I47" s="147">
        <f>+I46*$I$8</f>
        <v>0</v>
      </c>
      <c r="J47" s="147">
        <f>+J46*$I$8</f>
        <v>0</v>
      </c>
      <c r="K47" s="147">
        <f>+K46*I16</f>
        <v>0</v>
      </c>
      <c r="L47" s="3"/>
    </row>
    <row r="48" spans="1:12">
      <c r="A48" s="47" t="s">
        <v>100</v>
      </c>
      <c r="B48" s="48"/>
      <c r="C48" s="148">
        <f>C45-C47</f>
        <v>-18802.11</v>
      </c>
      <c r="D48" s="59">
        <f>D45-D47</f>
        <v>-0.27111930819628682</v>
      </c>
      <c r="E48" s="1"/>
      <c r="F48" s="149" t="s">
        <v>75</v>
      </c>
      <c r="G48" s="150"/>
      <c r="H48" s="150"/>
      <c r="I48" s="150"/>
      <c r="J48" s="150"/>
      <c r="K48" s="150"/>
      <c r="L48" s="3"/>
    </row>
    <row r="49" spans="1:12">
      <c r="A49" s="151"/>
      <c r="B49" s="151"/>
      <c r="C49" s="152"/>
      <c r="D49" s="153"/>
      <c r="E49" s="1"/>
      <c r="F49" s="149" t="s">
        <v>101</v>
      </c>
      <c r="G49" s="154"/>
      <c r="H49" s="154"/>
      <c r="I49" s="154"/>
      <c r="J49" s="154"/>
      <c r="K49" s="154"/>
      <c r="L49" s="3"/>
    </row>
    <row r="50" spans="1:12">
      <c r="A50" s="19" t="s">
        <v>102</v>
      </c>
      <c r="B50" s="155"/>
      <c r="C50" s="155"/>
      <c r="D50" s="20"/>
      <c r="E50" s="1"/>
      <c r="F50" s="19" t="s">
        <v>82</v>
      </c>
      <c r="G50" s="155"/>
      <c r="H50" s="155"/>
      <c r="I50" s="155"/>
      <c r="J50" s="155"/>
      <c r="K50" s="155"/>
      <c r="L50" s="3"/>
    </row>
    <row r="51" spans="1:12">
      <c r="A51" s="32" t="s">
        <v>103</v>
      </c>
      <c r="B51" s="69"/>
      <c r="C51" s="156">
        <f>(C45-C52-C53)</f>
        <v>5526.4200000000019</v>
      </c>
      <c r="D51" s="56">
        <f>+C51/C$12</f>
        <v>7.9688884237041693E-2</v>
      </c>
      <c r="E51" s="1"/>
      <c r="F51" s="149" t="s">
        <v>83</v>
      </c>
      <c r="G51" s="149" t="s">
        <v>104</v>
      </c>
      <c r="H51" s="149" t="s">
        <v>105</v>
      </c>
      <c r="I51" s="149" t="s">
        <v>106</v>
      </c>
      <c r="J51" s="149" t="s">
        <v>107</v>
      </c>
      <c r="K51" s="149" t="s">
        <v>108</v>
      </c>
      <c r="L51" s="3"/>
    </row>
    <row r="52" spans="1:12">
      <c r="A52" s="32" t="s">
        <v>109</v>
      </c>
      <c r="B52" s="69"/>
      <c r="C52" s="157">
        <v>234.74</v>
      </c>
      <c r="D52" s="56">
        <f>+C52/C$12</f>
        <v>3.3848619333679236E-3</v>
      </c>
      <c r="E52" s="1"/>
      <c r="F52" s="129" t="s">
        <v>89</v>
      </c>
      <c r="G52" s="131"/>
      <c r="H52" s="131"/>
      <c r="I52" s="131"/>
      <c r="J52" s="131"/>
      <c r="K52" s="130"/>
      <c r="L52" s="3"/>
    </row>
    <row r="53" spans="1:12">
      <c r="A53" s="32" t="s">
        <v>77</v>
      </c>
      <c r="B53" s="69"/>
      <c r="C53" s="157"/>
      <c r="D53" s="56">
        <f>+C53/C$12</f>
        <v>0</v>
      </c>
      <c r="E53" s="1"/>
      <c r="F53" s="129" t="s">
        <v>90</v>
      </c>
      <c r="G53" s="131"/>
      <c r="H53" s="131"/>
      <c r="I53" s="131"/>
      <c r="J53" s="131"/>
      <c r="K53" s="131"/>
      <c r="L53" s="3"/>
    </row>
    <row r="54" spans="1:12" ht="15.75" thickBot="1">
      <c r="A54" s="158" t="s">
        <v>54</v>
      </c>
      <c r="B54" s="159"/>
      <c r="C54" s="160">
        <f>+C51+C52+C53</f>
        <v>5761.1600000000017</v>
      </c>
      <c r="D54" s="161">
        <f>+C54/C$12</f>
        <v>8.3073746170409621E-2</v>
      </c>
      <c r="E54" s="1"/>
      <c r="F54" s="129" t="s">
        <v>92</v>
      </c>
      <c r="G54" s="131"/>
      <c r="H54" s="131"/>
      <c r="I54" s="131"/>
      <c r="J54" s="131"/>
      <c r="K54" s="130"/>
      <c r="L54" s="3"/>
    </row>
    <row r="55" spans="1:12" ht="16.5" thickBot="1">
      <c r="A55" s="32" t="s">
        <v>110</v>
      </c>
      <c r="B55" s="69"/>
      <c r="C55" s="162"/>
      <c r="D55" s="56">
        <f>+C55/C12</f>
        <v>0</v>
      </c>
      <c r="E55" s="1"/>
      <c r="F55" s="129" t="s">
        <v>94</v>
      </c>
      <c r="G55" s="135">
        <f>G52+G53-G54</f>
        <v>0</v>
      </c>
      <c r="H55" s="135">
        <f>H52+H53-H54</f>
        <v>0</v>
      </c>
      <c r="I55" s="135">
        <f>I52+I53-I54</f>
        <v>0</v>
      </c>
      <c r="J55" s="135">
        <f>J52+J53-J54</f>
        <v>0</v>
      </c>
      <c r="K55" s="135">
        <f>K52+K53-K54</f>
        <v>0</v>
      </c>
      <c r="L55" s="3"/>
    </row>
    <row r="56" spans="1:12" ht="15.75" thickBot="1">
      <c r="A56" s="163" t="s">
        <v>111</v>
      </c>
      <c r="B56" s="164"/>
      <c r="C56" s="165">
        <f>+C12-((C12*6.85%)+C54+C55)</f>
        <v>58838.316818965519</v>
      </c>
      <c r="D56" s="50">
        <f>+C56/C12</f>
        <v>0.84842625382959036</v>
      </c>
      <c r="E56" s="1"/>
      <c r="F56" s="129" t="s">
        <v>96</v>
      </c>
      <c r="G56" s="140"/>
      <c r="H56" s="140"/>
      <c r="I56" s="140"/>
      <c r="J56" s="140"/>
      <c r="K56" s="140"/>
      <c r="L56" s="3"/>
    </row>
    <row r="57" spans="1:12" ht="15.75" thickBot="1">
      <c r="A57" s="19" t="s">
        <v>112</v>
      </c>
      <c r="B57" s="155"/>
      <c r="C57" s="155"/>
      <c r="D57" s="166"/>
      <c r="E57" s="1"/>
      <c r="F57" s="143" t="s">
        <v>97</v>
      </c>
      <c r="G57" s="144">
        <f>G56+G59-G55-G60</f>
        <v>0</v>
      </c>
      <c r="H57" s="144">
        <f>H56+H59-H55-H60</f>
        <v>0</v>
      </c>
      <c r="I57" s="144">
        <f>I56+I59-I55-I60</f>
        <v>0</v>
      </c>
      <c r="J57" s="144">
        <f>J56+J59-J55-J60</f>
        <v>0</v>
      </c>
      <c r="K57" s="144">
        <f>K56+K59-K55-K60</f>
        <v>0</v>
      </c>
      <c r="L57" s="3"/>
    </row>
    <row r="58" spans="1:12">
      <c r="A58" s="167" t="s">
        <v>113</v>
      </c>
      <c r="B58" s="168"/>
      <c r="C58" s="169">
        <v>13141.89</v>
      </c>
      <c r="D58" s="170">
        <f>+C58/$C$12</f>
        <v>0.189501078612544</v>
      </c>
      <c r="E58" s="1"/>
      <c r="F58" s="129" t="s">
        <v>99</v>
      </c>
      <c r="G58" s="147">
        <f>+G57*I18</f>
        <v>0</v>
      </c>
      <c r="H58" s="147">
        <f>+H57*I13</f>
        <v>0</v>
      </c>
      <c r="I58" s="147">
        <f>+I57*I15</f>
        <v>0</v>
      </c>
      <c r="J58" s="147">
        <f>+J57*I11</f>
        <v>0</v>
      </c>
      <c r="K58" s="147">
        <f>+K57*I12</f>
        <v>0</v>
      </c>
      <c r="L58" s="3"/>
    </row>
    <row r="59" spans="1:12">
      <c r="A59" s="171" t="s">
        <v>114</v>
      </c>
      <c r="B59" s="172"/>
      <c r="C59" s="173">
        <v>3940.58</v>
      </c>
      <c r="D59" s="174">
        <f t="shared" ref="D59:D64" si="4">+C59/$C$12</f>
        <v>5.6821671795991194E-2</v>
      </c>
      <c r="E59" s="1"/>
      <c r="F59" s="149" t="s">
        <v>75</v>
      </c>
      <c r="G59" s="150"/>
      <c r="H59" s="150"/>
      <c r="I59" s="150"/>
      <c r="J59" s="150"/>
      <c r="K59" s="150"/>
      <c r="L59" s="3"/>
    </row>
    <row r="60" spans="1:12">
      <c r="A60" s="171" t="s">
        <v>115</v>
      </c>
      <c r="B60" s="172"/>
      <c r="C60" s="173">
        <v>9218.64</v>
      </c>
      <c r="D60" s="174">
        <f t="shared" si="4"/>
        <v>0.13292929885585275</v>
      </c>
      <c r="E60" s="1"/>
      <c r="F60" s="149" t="s">
        <v>101</v>
      </c>
      <c r="G60" s="154"/>
      <c r="H60" s="154"/>
      <c r="I60" s="154"/>
      <c r="J60" s="154"/>
      <c r="K60" s="154"/>
      <c r="L60" s="3"/>
    </row>
    <row r="61" spans="1:12">
      <c r="A61" s="171" t="s">
        <v>116</v>
      </c>
      <c r="B61" s="172"/>
      <c r="C61" s="173">
        <v>3609.5</v>
      </c>
      <c r="D61" s="174">
        <f t="shared" si="4"/>
        <v>5.2047623534512741E-2</v>
      </c>
      <c r="E61" s="1"/>
      <c r="F61" s="175" t="s">
        <v>117</v>
      </c>
      <c r="G61" s="176"/>
      <c r="H61" s="176"/>
      <c r="I61" s="176"/>
      <c r="J61" s="176"/>
      <c r="K61" s="176"/>
      <c r="L61" s="3"/>
    </row>
    <row r="62" spans="1:12">
      <c r="A62" s="171" t="s">
        <v>118</v>
      </c>
      <c r="B62" s="172"/>
      <c r="C62" s="173">
        <v>9638.91</v>
      </c>
      <c r="D62" s="174">
        <f t="shared" si="4"/>
        <v>0.13898943315225107</v>
      </c>
      <c r="E62" s="1"/>
      <c r="F62" s="177" t="s">
        <v>119</v>
      </c>
      <c r="G62" s="178"/>
      <c r="H62" s="178"/>
      <c r="I62" s="178"/>
      <c r="J62" s="178"/>
      <c r="K62" s="178"/>
      <c r="L62" s="3"/>
    </row>
    <row r="63" spans="1:12">
      <c r="A63" s="171" t="s">
        <v>120</v>
      </c>
      <c r="B63" s="172"/>
      <c r="C63" s="173">
        <v>12714.78</v>
      </c>
      <c r="D63" s="174">
        <f t="shared" si="4"/>
        <v>0.18334231410559687</v>
      </c>
      <c r="E63" s="1"/>
      <c r="F63" s="179" t="s">
        <v>121</v>
      </c>
      <c r="G63" s="180"/>
      <c r="H63" s="181">
        <f t="shared" ref="H63:H80" si="5">+G63/$C$19</f>
        <v>0</v>
      </c>
      <c r="I63" s="182"/>
      <c r="J63" s="180"/>
      <c r="K63" s="181">
        <f t="shared" ref="K63:K80" si="6">+J63/$C$19</f>
        <v>0</v>
      </c>
      <c r="L63" s="3"/>
    </row>
    <row r="64" spans="1:12">
      <c r="A64" s="183" t="s">
        <v>122</v>
      </c>
      <c r="B64" s="184"/>
      <c r="C64" s="185">
        <v>17085.5</v>
      </c>
      <c r="D64" s="186">
        <f t="shared" si="4"/>
        <v>0.24636644186145379</v>
      </c>
      <c r="E64" s="1"/>
      <c r="F64" s="179" t="s">
        <v>123</v>
      </c>
      <c r="G64" s="187"/>
      <c r="H64" s="181">
        <f t="shared" si="5"/>
        <v>0</v>
      </c>
      <c r="I64" s="179"/>
      <c r="J64" s="180"/>
      <c r="K64" s="181">
        <f t="shared" si="6"/>
        <v>0</v>
      </c>
      <c r="L64" s="3"/>
    </row>
    <row r="65" spans="1:12">
      <c r="A65" s="1"/>
      <c r="B65" s="188">
        <f>+C12</f>
        <v>69349.948275862072</v>
      </c>
      <c r="C65" s="189"/>
      <c r="D65" s="190">
        <f>SUM(D58:D64)</f>
        <v>0.99999786191820239</v>
      </c>
      <c r="E65" s="1"/>
      <c r="F65" s="179" t="s">
        <v>124</v>
      </c>
      <c r="G65" s="187"/>
      <c r="H65" s="181">
        <f t="shared" si="5"/>
        <v>0</v>
      </c>
      <c r="I65" s="179"/>
      <c r="J65" s="180"/>
      <c r="K65" s="181">
        <f t="shared" si="6"/>
        <v>0</v>
      </c>
      <c r="L65" s="3"/>
    </row>
    <row r="66" spans="1:12">
      <c r="A66" s="19" t="s">
        <v>125</v>
      </c>
      <c r="B66" s="155"/>
      <c r="C66" s="155"/>
      <c r="D66" s="166"/>
      <c r="E66" s="1"/>
      <c r="F66" s="179" t="s">
        <v>126</v>
      </c>
      <c r="G66" s="187"/>
      <c r="H66" s="181">
        <f t="shared" si="5"/>
        <v>0</v>
      </c>
      <c r="I66" s="179"/>
      <c r="J66" s="180"/>
      <c r="K66" s="181">
        <f t="shared" si="6"/>
        <v>0</v>
      </c>
      <c r="L66" s="3"/>
    </row>
    <row r="67" spans="1:12">
      <c r="A67" s="167" t="s">
        <v>113</v>
      </c>
      <c r="B67" s="168"/>
      <c r="C67" s="191">
        <v>224</v>
      </c>
      <c r="D67" s="170">
        <f>+C67/$C$19</f>
        <v>0.1862011637572735</v>
      </c>
      <c r="E67" s="1"/>
      <c r="F67" s="179" t="s">
        <v>127</v>
      </c>
      <c r="G67" s="187"/>
      <c r="H67" s="181">
        <f t="shared" si="5"/>
        <v>0</v>
      </c>
      <c r="I67" s="179"/>
      <c r="J67" s="180"/>
      <c r="K67" s="181">
        <f t="shared" si="6"/>
        <v>0</v>
      </c>
      <c r="L67" s="3"/>
    </row>
    <row r="68" spans="1:12">
      <c r="A68" s="171" t="s">
        <v>114</v>
      </c>
      <c r="B68" s="172"/>
      <c r="C68" s="192">
        <v>72</v>
      </c>
      <c r="D68" s="174">
        <f t="shared" ref="D68:D73" si="7">+C68/$C$19</f>
        <v>5.9850374064837904E-2</v>
      </c>
      <c r="E68" s="1"/>
      <c r="F68" s="179" t="s">
        <v>128</v>
      </c>
      <c r="G68" s="187"/>
      <c r="H68" s="181">
        <f t="shared" si="5"/>
        <v>0</v>
      </c>
      <c r="I68" s="179"/>
      <c r="J68" s="180"/>
      <c r="K68" s="181">
        <f t="shared" si="6"/>
        <v>0</v>
      </c>
      <c r="L68" s="3"/>
    </row>
    <row r="69" spans="1:12">
      <c r="A69" s="171" t="s">
        <v>115</v>
      </c>
      <c r="B69" s="172"/>
      <c r="C69" s="192">
        <v>193</v>
      </c>
      <c r="D69" s="174">
        <f t="shared" si="7"/>
        <v>0.16043225270157938</v>
      </c>
      <c r="E69" s="1"/>
      <c r="F69" s="179" t="s">
        <v>129</v>
      </c>
      <c r="G69" s="187"/>
      <c r="H69" s="181">
        <f t="shared" si="5"/>
        <v>0</v>
      </c>
      <c r="I69" s="179"/>
      <c r="J69" s="180"/>
      <c r="K69" s="181">
        <f t="shared" si="6"/>
        <v>0</v>
      </c>
      <c r="L69" s="3"/>
    </row>
    <row r="70" spans="1:12">
      <c r="A70" s="171" t="s">
        <v>116</v>
      </c>
      <c r="B70" s="172"/>
      <c r="C70" s="192">
        <v>64</v>
      </c>
      <c r="D70" s="174">
        <f t="shared" si="7"/>
        <v>5.3200332502078139E-2</v>
      </c>
      <c r="E70" s="1"/>
      <c r="F70" s="179" t="s">
        <v>130</v>
      </c>
      <c r="G70" s="187"/>
      <c r="H70" s="181">
        <f t="shared" si="5"/>
        <v>0</v>
      </c>
      <c r="I70" s="193" t="s">
        <v>131</v>
      </c>
      <c r="J70" s="194"/>
      <c r="K70" s="195"/>
      <c r="L70" s="3"/>
    </row>
    <row r="71" spans="1:12">
      <c r="A71" s="171" t="s">
        <v>118</v>
      </c>
      <c r="B71" s="172"/>
      <c r="C71" s="192">
        <v>185</v>
      </c>
      <c r="D71" s="174">
        <f t="shared" si="7"/>
        <v>0.15378221113881962</v>
      </c>
      <c r="E71" s="1"/>
      <c r="F71" s="179" t="s">
        <v>132</v>
      </c>
      <c r="G71" s="180"/>
      <c r="H71" s="181">
        <f t="shared" si="5"/>
        <v>0</v>
      </c>
      <c r="I71" s="182" t="s">
        <v>133</v>
      </c>
      <c r="J71" s="187"/>
      <c r="K71" s="181">
        <f t="shared" si="6"/>
        <v>0</v>
      </c>
      <c r="L71" s="3"/>
    </row>
    <row r="72" spans="1:12">
      <c r="A72" s="171" t="s">
        <v>120</v>
      </c>
      <c r="B72" s="172"/>
      <c r="C72" s="192">
        <v>197</v>
      </c>
      <c r="D72" s="174">
        <f t="shared" si="7"/>
        <v>0.16375727348295926</v>
      </c>
      <c r="E72" s="1"/>
      <c r="F72" s="179" t="s">
        <v>134</v>
      </c>
      <c r="G72" s="180"/>
      <c r="H72" s="181">
        <f t="shared" si="5"/>
        <v>0</v>
      </c>
      <c r="I72" s="182"/>
      <c r="J72" s="187"/>
      <c r="K72" s="181">
        <f t="shared" si="6"/>
        <v>0</v>
      </c>
      <c r="L72" s="3"/>
    </row>
    <row r="73" spans="1:12">
      <c r="A73" s="183" t="s">
        <v>122</v>
      </c>
      <c r="B73" s="184"/>
      <c r="C73" s="196">
        <v>268</v>
      </c>
      <c r="D73" s="186">
        <f t="shared" si="7"/>
        <v>0.2227763923524522</v>
      </c>
      <c r="E73" s="1"/>
      <c r="F73" s="179" t="s">
        <v>135</v>
      </c>
      <c r="G73" s="180"/>
      <c r="H73" s="181">
        <f t="shared" si="5"/>
        <v>0</v>
      </c>
      <c r="I73" s="182"/>
      <c r="J73" s="187"/>
      <c r="K73" s="181">
        <f t="shared" si="6"/>
        <v>0</v>
      </c>
      <c r="L73" s="3"/>
    </row>
    <row r="74" spans="1:12">
      <c r="A74" s="19" t="s">
        <v>136</v>
      </c>
      <c r="B74" s="155"/>
      <c r="C74" s="155"/>
      <c r="D74" s="197"/>
      <c r="E74" s="1"/>
      <c r="F74" s="179" t="s">
        <v>137</v>
      </c>
      <c r="G74" s="180"/>
      <c r="H74" s="181">
        <f t="shared" si="5"/>
        <v>0</v>
      </c>
      <c r="I74" s="182"/>
      <c r="J74" s="187"/>
      <c r="K74" s="181">
        <f t="shared" si="6"/>
        <v>0</v>
      </c>
      <c r="L74" s="3"/>
    </row>
    <row r="75" spans="1:12">
      <c r="A75" s="167" t="s">
        <v>113</v>
      </c>
      <c r="B75" s="168"/>
      <c r="C75" s="169">
        <v>4372.83</v>
      </c>
      <c r="D75" s="170">
        <f>+C75/C58</f>
        <v>0.33273981139699083</v>
      </c>
      <c r="E75" s="1"/>
      <c r="F75" s="179" t="s">
        <v>138</v>
      </c>
      <c r="G75" s="180"/>
      <c r="H75" s="181">
        <f t="shared" si="5"/>
        <v>0</v>
      </c>
      <c r="I75" s="182"/>
      <c r="J75" s="187"/>
      <c r="K75" s="181">
        <f t="shared" si="6"/>
        <v>0</v>
      </c>
      <c r="L75" s="3"/>
    </row>
    <row r="76" spans="1:12">
      <c r="A76" s="171" t="s">
        <v>114</v>
      </c>
      <c r="B76" s="172"/>
      <c r="C76" s="173">
        <v>1456.57</v>
      </c>
      <c r="D76" s="174">
        <f t="shared" ref="D76:D81" si="8">+C76/C59</f>
        <v>0.36963340421968338</v>
      </c>
      <c r="E76" s="1"/>
      <c r="F76" s="179"/>
      <c r="G76" s="180"/>
      <c r="H76" s="181">
        <f t="shared" si="5"/>
        <v>0</v>
      </c>
      <c r="I76" s="179" t="s">
        <v>113</v>
      </c>
      <c r="J76" s="187"/>
      <c r="K76" s="181">
        <f t="shared" si="6"/>
        <v>0</v>
      </c>
      <c r="L76" s="3"/>
    </row>
    <row r="77" spans="1:12">
      <c r="A77" s="171" t="s">
        <v>115</v>
      </c>
      <c r="B77" s="172"/>
      <c r="C77" s="173">
        <v>4140.29</v>
      </c>
      <c r="D77" s="174">
        <f t="shared" si="8"/>
        <v>0.44912156239965983</v>
      </c>
      <c r="E77" s="1"/>
      <c r="F77" s="179"/>
      <c r="G77" s="180"/>
      <c r="H77" s="181">
        <f t="shared" si="5"/>
        <v>0</v>
      </c>
      <c r="I77" s="179" t="s">
        <v>114</v>
      </c>
      <c r="J77" s="187"/>
      <c r="K77" s="181">
        <f t="shared" si="6"/>
        <v>0</v>
      </c>
      <c r="L77" s="3"/>
    </row>
    <row r="78" spans="1:12">
      <c r="A78" s="171" t="s">
        <v>116</v>
      </c>
      <c r="B78" s="172"/>
      <c r="C78" s="173">
        <v>1246.82</v>
      </c>
      <c r="D78" s="174">
        <f t="shared" si="8"/>
        <v>0.34542734450754953</v>
      </c>
      <c r="E78" s="1"/>
      <c r="F78" s="179"/>
      <c r="G78" s="180"/>
      <c r="H78" s="181">
        <f t="shared" si="5"/>
        <v>0</v>
      </c>
      <c r="I78" s="179" t="s">
        <v>115</v>
      </c>
      <c r="J78" s="187"/>
      <c r="K78" s="181">
        <f t="shared" si="6"/>
        <v>0</v>
      </c>
      <c r="L78" s="3"/>
    </row>
    <row r="79" spans="1:12">
      <c r="A79" s="171" t="s">
        <v>118</v>
      </c>
      <c r="B79" s="172"/>
      <c r="C79" s="173">
        <v>3274.19</v>
      </c>
      <c r="D79" s="174">
        <f t="shared" si="8"/>
        <v>0.33968467388947504</v>
      </c>
      <c r="E79" s="198"/>
      <c r="F79" s="179"/>
      <c r="G79" s="180"/>
      <c r="H79" s="181">
        <f t="shared" si="5"/>
        <v>0</v>
      </c>
      <c r="I79" s="179" t="s">
        <v>139</v>
      </c>
      <c r="J79" s="187"/>
      <c r="K79" s="181">
        <f t="shared" si="6"/>
        <v>0</v>
      </c>
      <c r="L79" s="3"/>
    </row>
    <row r="80" spans="1:12">
      <c r="A80" s="171" t="s">
        <v>120</v>
      </c>
      <c r="B80" s="172"/>
      <c r="C80" s="173">
        <v>4408.9399999999996</v>
      </c>
      <c r="D80" s="174">
        <f t="shared" si="8"/>
        <v>0.3467570811292055</v>
      </c>
      <c r="E80" s="198"/>
      <c r="F80" s="179"/>
      <c r="G80" s="180"/>
      <c r="H80" s="181">
        <f t="shared" si="5"/>
        <v>0</v>
      </c>
      <c r="I80" s="179" t="s">
        <v>118</v>
      </c>
      <c r="J80" s="187"/>
      <c r="K80" s="181">
        <f t="shared" si="6"/>
        <v>0</v>
      </c>
      <c r="L80" s="3"/>
    </row>
    <row r="81" spans="1:12">
      <c r="A81" s="183" t="s">
        <v>122</v>
      </c>
      <c r="B81" s="184"/>
      <c r="C81" s="185">
        <v>5663.63</v>
      </c>
      <c r="D81" s="186">
        <f t="shared" si="8"/>
        <v>0.33148751865617043</v>
      </c>
      <c r="E81" s="198"/>
      <c r="F81" s="199" t="s">
        <v>140</v>
      </c>
      <c r="G81" s="200"/>
      <c r="H81" s="201"/>
      <c r="I81" s="202">
        <f>SUM(G63:G80,J63:J69)</f>
        <v>0</v>
      </c>
      <c r="J81" s="203">
        <f>+I81/C19</f>
        <v>0</v>
      </c>
      <c r="K81" s="204"/>
      <c r="L81" s="3"/>
    </row>
    <row r="82" spans="1:12">
      <c r="A82" s="205"/>
      <c r="B82" s="205"/>
      <c r="C82" s="206"/>
      <c r="D82" s="207"/>
      <c r="E82" s="208"/>
      <c r="F82" s="3"/>
      <c r="G82" s="3"/>
      <c r="H82" s="3"/>
      <c r="I82" s="3"/>
      <c r="J82" s="3"/>
      <c r="K82" s="3"/>
      <c r="L82" s="3"/>
    </row>
    <row r="83" spans="1:12">
      <c r="A83" s="205"/>
      <c r="B83" s="205"/>
      <c r="C83" s="206"/>
      <c r="D83" s="207"/>
      <c r="E83" s="208"/>
      <c r="F83" s="3"/>
      <c r="G83" s="3"/>
      <c r="H83" s="3"/>
      <c r="I83" s="3"/>
      <c r="J83" s="3"/>
      <c r="K83" s="3"/>
      <c r="L83" s="3"/>
    </row>
    <row r="84" spans="1:12">
      <c r="A84" s="205"/>
      <c r="B84" s="205"/>
      <c r="C84" s="206"/>
      <c r="D84" s="209"/>
      <c r="E84" s="208"/>
      <c r="F84" s="3"/>
      <c r="G84" s="3"/>
      <c r="H84" s="3"/>
      <c r="I84" s="3"/>
      <c r="J84" s="3"/>
      <c r="K84" s="3"/>
      <c r="L84" s="3"/>
    </row>
    <row r="85" spans="1:12">
      <c r="A85" s="210"/>
      <c r="B85" s="210"/>
      <c r="C85" s="211"/>
      <c r="D85" s="212"/>
      <c r="E85" s="208"/>
      <c r="F85" s="3"/>
      <c r="G85" s="3"/>
      <c r="H85" s="3"/>
      <c r="I85" s="3"/>
      <c r="J85" s="3"/>
      <c r="K85" s="3"/>
      <c r="L85" s="3"/>
    </row>
    <row r="86" spans="1:12">
      <c r="A86" s="213"/>
      <c r="B86" s="213"/>
      <c r="C86" s="213"/>
      <c r="D86" s="213"/>
      <c r="E86" s="208"/>
      <c r="F86" s="3"/>
      <c r="G86" s="3"/>
      <c r="H86" s="3"/>
      <c r="I86" s="3"/>
      <c r="J86" s="3"/>
      <c r="K86" s="3"/>
      <c r="L86" s="3"/>
    </row>
    <row r="87" spans="1:12">
      <c r="A87" s="214"/>
      <c r="B87" s="214"/>
      <c r="C87" s="215"/>
      <c r="D87" s="216"/>
      <c r="E87" s="208"/>
      <c r="F87" s="3"/>
      <c r="G87" s="3"/>
      <c r="H87" s="3"/>
      <c r="I87" s="3"/>
      <c r="J87" s="3"/>
      <c r="K87" s="3"/>
      <c r="L87" s="3"/>
    </row>
    <row r="88" spans="1:12">
      <c r="A88" s="214"/>
      <c r="B88" s="214"/>
      <c r="C88" s="217"/>
      <c r="D88" s="218"/>
      <c r="E88" s="3"/>
      <c r="F88" s="3"/>
      <c r="G88" s="3"/>
      <c r="H88" s="3"/>
      <c r="I88" s="3"/>
      <c r="J88" s="3"/>
      <c r="K88" s="3"/>
      <c r="L88" s="3"/>
    </row>
    <row r="89" spans="1:1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3"/>
      <c r="B90" s="3"/>
      <c r="C90" s="3"/>
      <c r="D90" s="3"/>
      <c r="E90" s="3"/>
      <c r="F90" s="3"/>
      <c r="G90" s="3"/>
      <c r="H90" s="3"/>
      <c r="I90" s="3"/>
      <c r="J90" s="3"/>
      <c r="K90" s="219"/>
      <c r="L90" s="3"/>
    </row>
    <row r="91" spans="1:1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3"/>
      <c r="B103" s="3"/>
      <c r="C103" s="3"/>
      <c r="D103" s="3"/>
      <c r="E103" s="3"/>
      <c r="F103" s="3"/>
      <c r="G103" s="3"/>
      <c r="H103" s="220"/>
      <c r="I103" s="3"/>
      <c r="J103" s="3"/>
      <c r="K103" s="3"/>
      <c r="L103" s="3"/>
    </row>
  </sheetData>
  <customSheetViews>
    <customSheetView guid="{2443864E-3EC0-42CB-9BCC-E86B96EC82D4}">
      <selection sqref="A1:L103"/>
      <pageMargins left="0.7" right="0.7" top="0.75" bottom="0.75" header="0.3" footer="0.3"/>
    </customSheetView>
  </customSheetViews>
  <mergeCells count="49">
    <mergeCell ref="F81:H81"/>
    <mergeCell ref="A57:D57"/>
    <mergeCell ref="F61:K61"/>
    <mergeCell ref="F62:K62"/>
    <mergeCell ref="A66:D66"/>
    <mergeCell ref="I70:K70"/>
    <mergeCell ref="A74:D74"/>
    <mergeCell ref="A51:B51"/>
    <mergeCell ref="A52:B52"/>
    <mergeCell ref="A53:B53"/>
    <mergeCell ref="A54:B54"/>
    <mergeCell ref="A55:B55"/>
    <mergeCell ref="A56:B56"/>
    <mergeCell ref="A46:B46"/>
    <mergeCell ref="A47:B47"/>
    <mergeCell ref="A48:B48"/>
    <mergeCell ref="A49:B49"/>
    <mergeCell ref="A50:D50"/>
    <mergeCell ref="F50:K50"/>
    <mergeCell ref="A27:B27"/>
    <mergeCell ref="F28:K28"/>
    <mergeCell ref="F39:K39"/>
    <mergeCell ref="A43:B43"/>
    <mergeCell ref="A44:B44"/>
    <mergeCell ref="A45:B45"/>
    <mergeCell ref="A19:B19"/>
    <mergeCell ref="A20:B20"/>
    <mergeCell ref="A21:B21"/>
    <mergeCell ref="A22:B22"/>
    <mergeCell ref="A23:B23"/>
    <mergeCell ref="A26:D2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B1:J1"/>
    <mergeCell ref="G2:H2"/>
    <mergeCell ref="G3:H3"/>
    <mergeCell ref="G4:H4"/>
    <mergeCell ref="A6:B6"/>
    <mergeCell ref="F6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3"/>
  <sheetViews>
    <sheetView workbookViewId="0">
      <selection sqref="A1:L103"/>
    </sheetView>
  </sheetViews>
  <sheetFormatPr baseColWidth="10" defaultRowHeight="15"/>
  <sheetData>
    <row r="1" spans="1:12" ht="22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1"/>
      <c r="L1" s="3"/>
    </row>
    <row r="2" spans="1:12" ht="16.5">
      <c r="A2" s="4"/>
      <c r="B2" s="3"/>
      <c r="C2" s="5"/>
      <c r="D2" s="5"/>
      <c r="E2" s="5"/>
      <c r="F2" s="5" t="s">
        <v>2</v>
      </c>
      <c r="G2" s="6"/>
      <c r="H2" s="6"/>
      <c r="I2" s="5"/>
      <c r="J2" s="5"/>
      <c r="K2" s="4"/>
      <c r="L2" s="3"/>
    </row>
    <row r="3" spans="1:12">
      <c r="A3" s="7" t="s">
        <v>3</v>
      </c>
      <c r="B3" s="8"/>
      <c r="C3" s="9"/>
      <c r="D3" s="10"/>
      <c r="E3" s="10"/>
      <c r="F3" s="11" t="s">
        <v>4</v>
      </c>
      <c r="G3" s="12"/>
      <c r="H3" s="12"/>
      <c r="I3" s="13"/>
      <c r="J3" s="14"/>
      <c r="K3" s="14"/>
      <c r="L3" s="3"/>
    </row>
    <row r="4" spans="1:12">
      <c r="A4" s="7" t="s">
        <v>5</v>
      </c>
      <c r="B4" s="8"/>
      <c r="C4" s="9"/>
      <c r="D4" s="10"/>
      <c r="E4" s="10"/>
      <c r="F4" s="11" t="s">
        <v>6</v>
      </c>
      <c r="G4" s="15"/>
      <c r="H4" s="15"/>
      <c r="I4" s="13"/>
      <c r="J4" s="11" t="s">
        <v>7</v>
      </c>
      <c r="K4" s="16"/>
      <c r="L4" s="3"/>
    </row>
    <row r="5" spans="1:12" ht="15.75" thickBot="1">
      <c r="A5" s="17"/>
      <c r="B5" s="17"/>
      <c r="C5" s="17"/>
      <c r="D5" s="17"/>
      <c r="E5" s="17"/>
      <c r="F5" s="17"/>
      <c r="G5" s="17"/>
      <c r="H5" s="17"/>
      <c r="I5" s="18"/>
      <c r="J5" s="17"/>
      <c r="K5" s="17"/>
      <c r="L5" s="3"/>
    </row>
    <row r="6" spans="1:12">
      <c r="A6" s="19" t="s">
        <v>8</v>
      </c>
      <c r="B6" s="20"/>
      <c r="C6" s="21" t="s">
        <v>9</v>
      </c>
      <c r="D6" s="21" t="s">
        <v>10</v>
      </c>
      <c r="E6" s="1"/>
      <c r="F6" s="22" t="s">
        <v>11</v>
      </c>
      <c r="G6" s="23"/>
      <c r="H6" s="23"/>
      <c r="I6" s="23"/>
      <c r="J6" s="23"/>
      <c r="K6" s="24"/>
      <c r="L6" s="3"/>
    </row>
    <row r="7" spans="1:12">
      <c r="A7" s="25" t="s">
        <v>12</v>
      </c>
      <c r="B7" s="26"/>
      <c r="C7" s="27">
        <v>96166.36</v>
      </c>
      <c r="D7" s="28"/>
      <c r="E7" s="1"/>
      <c r="F7" s="29" t="s">
        <v>13</v>
      </c>
      <c r="G7" s="30" t="s">
        <v>14</v>
      </c>
      <c r="H7" s="30" t="s">
        <v>15</v>
      </c>
      <c r="I7" s="30" t="s">
        <v>16</v>
      </c>
      <c r="J7" s="30" t="s">
        <v>17</v>
      </c>
      <c r="K7" s="31"/>
      <c r="L7" s="3"/>
    </row>
    <row r="8" spans="1:12" ht="15.75">
      <c r="A8" s="32" t="s">
        <v>18</v>
      </c>
      <c r="B8" s="33"/>
      <c r="C8" s="34"/>
      <c r="D8" s="35">
        <f>+C8/C7</f>
        <v>0</v>
      </c>
      <c r="E8" s="1"/>
      <c r="F8" s="36" t="s">
        <v>19</v>
      </c>
      <c r="G8" s="37">
        <v>1312</v>
      </c>
      <c r="H8" s="38">
        <v>42616.26</v>
      </c>
      <c r="I8" s="39">
        <f t="shared" ref="I8:I25" si="0">IF(G8&gt;0,(H8/G8),0)</f>
        <v>32.48190548780488</v>
      </c>
      <c r="J8" s="40">
        <f>+H8/$C$12</f>
        <v>0.51405565938026565</v>
      </c>
      <c r="K8" s="41"/>
      <c r="L8" s="42"/>
    </row>
    <row r="9" spans="1:12" ht="15.75">
      <c r="A9" s="32" t="s">
        <v>20</v>
      </c>
      <c r="B9" s="33"/>
      <c r="C9" s="43">
        <f>((C7/1.16)-C7)*-1</f>
        <v>13264.325517241377</v>
      </c>
      <c r="D9" s="35"/>
      <c r="E9" s="1"/>
      <c r="F9" s="36" t="s">
        <v>21</v>
      </c>
      <c r="G9" s="37">
        <v>81</v>
      </c>
      <c r="H9" s="44">
        <v>3210.13</v>
      </c>
      <c r="I9" s="39">
        <f t="shared" si="0"/>
        <v>39.631234567901238</v>
      </c>
      <c r="J9" s="40">
        <f t="shared" ref="J9:J25" si="1">+H9/$C$12</f>
        <v>3.8721968888081028E-2</v>
      </c>
      <c r="K9" s="41"/>
      <c r="L9" s="42"/>
    </row>
    <row r="10" spans="1:12" ht="15.75">
      <c r="A10" s="32" t="s">
        <v>22</v>
      </c>
      <c r="B10" s="33"/>
      <c r="C10" s="45">
        <f>+C7-C11</f>
        <v>73121.56</v>
      </c>
      <c r="D10" s="46">
        <f>+C10/C7</f>
        <v>0.76036526702268858</v>
      </c>
      <c r="E10" s="1"/>
      <c r="F10" s="36" t="s">
        <v>23</v>
      </c>
      <c r="G10" s="37">
        <v>41</v>
      </c>
      <c r="H10" s="44">
        <v>1912.87</v>
      </c>
      <c r="I10" s="39">
        <f t="shared" si="0"/>
        <v>46.655365853658537</v>
      </c>
      <c r="J10" s="40">
        <f t="shared" si="1"/>
        <v>2.3073860755465837E-2</v>
      </c>
      <c r="K10" s="41"/>
      <c r="L10" s="42"/>
    </row>
    <row r="11" spans="1:12" ht="15.75">
      <c r="A11" s="47" t="s">
        <v>24</v>
      </c>
      <c r="B11" s="48"/>
      <c r="C11" s="49">
        <v>23044.799999999999</v>
      </c>
      <c r="D11" s="50">
        <f>+C11/C7</f>
        <v>0.23963473297731139</v>
      </c>
      <c r="E11" s="1"/>
      <c r="F11" s="36" t="s">
        <v>25</v>
      </c>
      <c r="G11" s="37">
        <v>173</v>
      </c>
      <c r="H11" s="44">
        <v>3487.01</v>
      </c>
      <c r="I11" s="39">
        <f t="shared" si="0"/>
        <v>20.156127167630061</v>
      </c>
      <c r="J11" s="40">
        <f t="shared" si="1"/>
        <v>4.2061814547207567E-2</v>
      </c>
      <c r="K11" s="41"/>
      <c r="L11" s="42"/>
    </row>
    <row r="12" spans="1:12" ht="15.75">
      <c r="A12" s="51" t="s">
        <v>26</v>
      </c>
      <c r="B12" s="52"/>
      <c r="C12" s="53">
        <f>+C7-C9-C8</f>
        <v>82902.034482758623</v>
      </c>
      <c r="D12" s="54">
        <v>1</v>
      </c>
      <c r="E12" s="1"/>
      <c r="F12" s="36" t="s">
        <v>27</v>
      </c>
      <c r="G12" s="37">
        <v>122</v>
      </c>
      <c r="H12" s="44">
        <v>2909.16</v>
      </c>
      <c r="I12" s="39">
        <f t="shared" si="0"/>
        <v>23.845573770491804</v>
      </c>
      <c r="J12" s="40">
        <f t="shared" si="1"/>
        <v>3.509153928671107E-2</v>
      </c>
      <c r="K12" s="41"/>
      <c r="L12" s="42"/>
    </row>
    <row r="13" spans="1:12" ht="15.75">
      <c r="A13" s="32" t="s">
        <v>28</v>
      </c>
      <c r="B13" s="33"/>
      <c r="C13" s="55">
        <f>+H19+H21</f>
        <v>2672.69</v>
      </c>
      <c r="D13" s="56">
        <f>+C13/C$12</f>
        <v>3.2239136429828473E-2</v>
      </c>
      <c r="E13" s="1"/>
      <c r="F13" s="36" t="s">
        <v>29</v>
      </c>
      <c r="G13" s="37">
        <v>27</v>
      </c>
      <c r="H13" s="44">
        <v>1226.8599999999999</v>
      </c>
      <c r="I13" s="39">
        <f t="shared" si="0"/>
        <v>45.439259259259252</v>
      </c>
      <c r="J13" s="40">
        <f t="shared" si="1"/>
        <v>1.4798913050259986E-2</v>
      </c>
      <c r="K13" s="41"/>
      <c r="L13" s="42"/>
    </row>
    <row r="14" spans="1:12" ht="15.75">
      <c r="A14" s="32" t="s">
        <v>30</v>
      </c>
      <c r="B14" s="33"/>
      <c r="C14" s="57">
        <f>+C12-C13-C15</f>
        <v>65502.544482758618</v>
      </c>
      <c r="D14" s="56">
        <f>+C14/C$12</f>
        <v>0.79011986727999262</v>
      </c>
      <c r="E14" s="1"/>
      <c r="F14" s="36" t="s">
        <v>31</v>
      </c>
      <c r="G14" s="37">
        <v>30</v>
      </c>
      <c r="H14" s="44">
        <v>1047.44</v>
      </c>
      <c r="I14" s="39">
        <f t="shared" si="0"/>
        <v>34.914666666666669</v>
      </c>
      <c r="J14" s="40">
        <f t="shared" si="1"/>
        <v>1.2634671833268931E-2</v>
      </c>
      <c r="K14" s="41"/>
      <c r="L14" s="42"/>
    </row>
    <row r="15" spans="1:12" ht="15.75">
      <c r="A15" s="32" t="s">
        <v>32</v>
      </c>
      <c r="B15" s="33"/>
      <c r="C15" s="55">
        <f>+H16</f>
        <v>14726.8</v>
      </c>
      <c r="D15" s="56">
        <f>+C15/C$12</f>
        <v>0.17764099629017879</v>
      </c>
      <c r="E15" s="1"/>
      <c r="F15" s="36" t="s">
        <v>33</v>
      </c>
      <c r="G15" s="37">
        <v>0</v>
      </c>
      <c r="H15" s="44">
        <v>0</v>
      </c>
      <c r="I15" s="39">
        <f t="shared" si="0"/>
        <v>0</v>
      </c>
      <c r="J15" s="40">
        <f t="shared" si="1"/>
        <v>0</v>
      </c>
      <c r="K15" s="41"/>
      <c r="L15" s="42"/>
    </row>
    <row r="16" spans="1:12" ht="15.75">
      <c r="A16" s="47" t="s">
        <v>34</v>
      </c>
      <c r="B16" s="48"/>
      <c r="C16" s="58"/>
      <c r="D16" s="59">
        <f>+C16/C$12</f>
        <v>0</v>
      </c>
      <c r="E16" s="1"/>
      <c r="F16" s="36" t="s">
        <v>35</v>
      </c>
      <c r="G16" s="37">
        <v>61</v>
      </c>
      <c r="H16" s="44">
        <v>14726.8</v>
      </c>
      <c r="I16" s="39">
        <f t="shared" si="0"/>
        <v>241.42295081967211</v>
      </c>
      <c r="J16" s="40">
        <f t="shared" si="1"/>
        <v>0.17764099629017879</v>
      </c>
      <c r="K16" s="41"/>
      <c r="L16" s="42"/>
    </row>
    <row r="17" spans="1:12" ht="15.75">
      <c r="A17" s="60" t="s">
        <v>36</v>
      </c>
      <c r="B17" s="61"/>
      <c r="C17" s="62">
        <v>62860</v>
      </c>
      <c r="D17" s="63">
        <f>((C$12-C17)/C17)</f>
        <v>0.31883605604133985</v>
      </c>
      <c r="E17" s="1"/>
      <c r="F17" s="36" t="s">
        <v>37</v>
      </c>
      <c r="G17" s="37">
        <v>169</v>
      </c>
      <c r="H17" s="44">
        <v>3834.8</v>
      </c>
      <c r="I17" s="39">
        <f t="shared" si="0"/>
        <v>22.691124260355032</v>
      </c>
      <c r="J17" s="40">
        <f t="shared" si="1"/>
        <v>4.6257007128064326E-2</v>
      </c>
      <c r="K17" s="41"/>
      <c r="L17" s="42"/>
    </row>
    <row r="18" spans="1:12" ht="15.75">
      <c r="A18" s="47" t="s">
        <v>38</v>
      </c>
      <c r="B18" s="64"/>
      <c r="C18" s="65">
        <v>69139</v>
      </c>
      <c r="D18" s="59">
        <f>((C$12-C18)/C18)</f>
        <v>0.19906325637857972</v>
      </c>
      <c r="E18" s="1"/>
      <c r="F18" s="36" t="s">
        <v>39</v>
      </c>
      <c r="G18" s="37">
        <v>36</v>
      </c>
      <c r="H18" s="38">
        <v>915.55</v>
      </c>
      <c r="I18" s="39">
        <f t="shared" si="0"/>
        <v>25.431944444444444</v>
      </c>
      <c r="J18" s="40">
        <f t="shared" si="1"/>
        <v>1.1043757921169106E-2</v>
      </c>
      <c r="K18" s="41"/>
      <c r="L18" s="42"/>
    </row>
    <row r="19" spans="1:12" ht="15.75">
      <c r="A19" s="25" t="s">
        <v>40</v>
      </c>
      <c r="B19" s="26"/>
      <c r="C19" s="66">
        <v>1171</v>
      </c>
      <c r="D19" s="28"/>
      <c r="E19" s="1"/>
      <c r="F19" s="36" t="s">
        <v>41</v>
      </c>
      <c r="G19" s="37">
        <v>12</v>
      </c>
      <c r="H19" s="44">
        <v>582.91</v>
      </c>
      <c r="I19" s="39">
        <f t="shared" si="0"/>
        <v>48.575833333333328</v>
      </c>
      <c r="J19" s="40">
        <f t="shared" si="1"/>
        <v>7.0313111570407772E-3</v>
      </c>
      <c r="K19" s="41"/>
      <c r="L19" s="42"/>
    </row>
    <row r="20" spans="1:12" ht="15.75">
      <c r="A20" s="32" t="s">
        <v>42</v>
      </c>
      <c r="B20" s="33"/>
      <c r="C20" s="67">
        <v>743</v>
      </c>
      <c r="D20" s="68">
        <f>((C$19-C20)/C20)</f>
        <v>0.57604306864064603</v>
      </c>
      <c r="E20" s="1"/>
      <c r="F20" s="36" t="s">
        <v>43</v>
      </c>
      <c r="G20" s="37">
        <v>15</v>
      </c>
      <c r="H20" s="44">
        <v>1369.46</v>
      </c>
      <c r="I20" s="39">
        <f t="shared" si="0"/>
        <v>91.297333333333341</v>
      </c>
      <c r="J20" s="40">
        <f t="shared" si="1"/>
        <v>1.6519015589235155E-2</v>
      </c>
      <c r="K20" s="41"/>
      <c r="L20" s="42"/>
    </row>
    <row r="21" spans="1:12" ht="15.75">
      <c r="A21" s="32" t="s">
        <v>44</v>
      </c>
      <c r="B21" s="33"/>
      <c r="C21" s="67">
        <v>833</v>
      </c>
      <c r="D21" s="68">
        <f>((C$19-C21)/C21)</f>
        <v>0.4057623049219688</v>
      </c>
      <c r="E21" s="1"/>
      <c r="F21" s="36" t="s">
        <v>45</v>
      </c>
      <c r="G21" s="37">
        <v>55</v>
      </c>
      <c r="H21" s="44">
        <v>2089.7800000000002</v>
      </c>
      <c r="I21" s="39">
        <f t="shared" si="0"/>
        <v>37.996000000000002</v>
      </c>
      <c r="J21" s="40">
        <f t="shared" si="1"/>
        <v>2.5207825272787698E-2</v>
      </c>
      <c r="K21" s="41"/>
      <c r="L21" s="42"/>
    </row>
    <row r="22" spans="1:12" ht="15.75">
      <c r="A22" s="51" t="s">
        <v>46</v>
      </c>
      <c r="B22" s="52"/>
      <c r="C22" s="53">
        <f>+C12/C19</f>
        <v>70.795930386642723</v>
      </c>
      <c r="D22" s="68"/>
      <c r="E22" s="1"/>
      <c r="F22" s="36" t="s">
        <v>47</v>
      </c>
      <c r="G22" s="37">
        <v>99</v>
      </c>
      <c r="H22" s="44">
        <v>2461.34</v>
      </c>
      <c r="I22" s="39">
        <f t="shared" si="0"/>
        <v>24.862020202020204</v>
      </c>
      <c r="J22" s="40">
        <f t="shared" si="1"/>
        <v>2.9689741818240807E-2</v>
      </c>
      <c r="K22" s="41"/>
      <c r="L22" s="42"/>
    </row>
    <row r="23" spans="1:12" ht="15.75">
      <c r="A23" s="32" t="s">
        <v>48</v>
      </c>
      <c r="B23" s="69"/>
      <c r="C23" s="70">
        <v>84</v>
      </c>
      <c r="D23" s="68">
        <f>((C$22-C23)/C23)</f>
        <v>-0.15719130492091996</v>
      </c>
      <c r="E23" s="1"/>
      <c r="F23" s="36" t="s">
        <v>49</v>
      </c>
      <c r="G23" s="37">
        <v>0</v>
      </c>
      <c r="H23" s="44">
        <v>0</v>
      </c>
      <c r="I23" s="39">
        <f t="shared" si="0"/>
        <v>0</v>
      </c>
      <c r="J23" s="40">
        <f t="shared" si="1"/>
        <v>0</v>
      </c>
      <c r="K23" s="41"/>
      <c r="L23" s="42"/>
    </row>
    <row r="24" spans="1:12" ht="15.75">
      <c r="A24" s="71"/>
      <c r="B24" s="72"/>
      <c r="C24" s="73">
        <f>C22-C23</f>
        <v>-13.204069613357277</v>
      </c>
      <c r="D24" s="68"/>
      <c r="E24" s="1"/>
      <c r="F24" s="36" t="s">
        <v>50</v>
      </c>
      <c r="G24" s="37">
        <v>111</v>
      </c>
      <c r="H24" s="44">
        <v>729.73</v>
      </c>
      <c r="I24" s="39">
        <f t="shared" si="0"/>
        <v>6.5741441441441442</v>
      </c>
      <c r="J24" s="40">
        <f>+H24/$C$12</f>
        <v>8.8023171512366695E-3</v>
      </c>
      <c r="K24" s="41"/>
      <c r="L24" s="42"/>
    </row>
    <row r="25" spans="1:12" ht="15.75">
      <c r="A25" s="74" t="s">
        <v>51</v>
      </c>
      <c r="B25" s="75"/>
      <c r="C25" s="76">
        <f>+H32</f>
        <v>60</v>
      </c>
      <c r="D25" s="77">
        <f>((C$22-C25)/C25)</f>
        <v>0.17993217311071205</v>
      </c>
      <c r="E25" s="1" t="s">
        <v>52</v>
      </c>
      <c r="F25" s="36" t="s">
        <v>53</v>
      </c>
      <c r="G25" s="78">
        <v>94</v>
      </c>
      <c r="H25" s="44">
        <v>110.34</v>
      </c>
      <c r="I25" s="39">
        <f t="shared" si="0"/>
        <v>1.1738297872340426</v>
      </c>
      <c r="J25" s="40">
        <f t="shared" si="1"/>
        <v>1.330968542430014E-3</v>
      </c>
      <c r="K25" s="41"/>
      <c r="L25" s="42"/>
    </row>
    <row r="26" spans="1:12" ht="16.5" thickBot="1">
      <c r="A26" s="79" t="s">
        <v>54</v>
      </c>
      <c r="B26" s="80"/>
      <c r="C26" s="80"/>
      <c r="D26" s="81"/>
      <c r="E26" s="1"/>
      <c r="F26" s="82" t="s">
        <v>55</v>
      </c>
      <c r="G26" s="83">
        <v>184</v>
      </c>
      <c r="H26" s="84">
        <v>4097.28</v>
      </c>
      <c r="I26" s="85">
        <f>IF(G26&gt;0,(H26/G26),0)</f>
        <v>22.267826086956521</v>
      </c>
      <c r="J26" s="86">
        <f>+H26/$C$12</f>
        <v>4.9423153793072751E-2</v>
      </c>
      <c r="K26" s="87"/>
      <c r="L26" s="42"/>
    </row>
    <row r="27" spans="1:12" ht="15.75" thickBot="1">
      <c r="A27" s="88" t="s">
        <v>56</v>
      </c>
      <c r="B27" s="89"/>
      <c r="C27" s="90"/>
      <c r="D27" s="91"/>
      <c r="E27" s="1"/>
      <c r="F27" s="92" t="s">
        <v>57</v>
      </c>
      <c r="G27" s="93">
        <f>SUM(G8:G26)</f>
        <v>2622</v>
      </c>
      <c r="H27" s="94">
        <f>SUM(H8:H26)</f>
        <v>87327.720000000016</v>
      </c>
      <c r="I27" s="95">
        <f>+H27/G27</f>
        <v>33.30576659038902</v>
      </c>
      <c r="J27" s="96">
        <f>SUM(J8:J26)</f>
        <v>1.0533845224047163</v>
      </c>
      <c r="K27" s="97"/>
      <c r="L27" s="3"/>
    </row>
    <row r="28" spans="1:12" ht="15.75" thickBot="1">
      <c r="A28" s="98" t="s">
        <v>58</v>
      </c>
      <c r="B28" s="99"/>
      <c r="C28" s="90">
        <v>15242.64</v>
      </c>
      <c r="D28" s="100"/>
      <c r="E28" s="1"/>
      <c r="F28" s="22" t="s">
        <v>59</v>
      </c>
      <c r="G28" s="23"/>
      <c r="H28" s="23"/>
      <c r="I28" s="23"/>
      <c r="J28" s="23"/>
      <c r="K28" s="24"/>
      <c r="L28" s="3"/>
    </row>
    <row r="29" spans="1:12">
      <c r="A29" s="98" t="s">
        <v>60</v>
      </c>
      <c r="B29" s="99"/>
      <c r="C29" s="101">
        <v>583.64</v>
      </c>
      <c r="D29" s="102"/>
      <c r="E29" s="1"/>
      <c r="F29" s="29"/>
      <c r="G29" s="30" t="s">
        <v>61</v>
      </c>
      <c r="H29" s="30" t="s">
        <v>62</v>
      </c>
      <c r="I29" s="30"/>
      <c r="J29" s="30" t="s">
        <v>63</v>
      </c>
      <c r="K29" s="30" t="s">
        <v>64</v>
      </c>
      <c r="L29" s="3"/>
    </row>
    <row r="30" spans="1:12" ht="15.75">
      <c r="A30" s="98" t="s">
        <v>60</v>
      </c>
      <c r="B30" s="99"/>
      <c r="C30" s="101">
        <v>53.93</v>
      </c>
      <c r="D30" s="102"/>
      <c r="E30" s="1"/>
      <c r="F30" s="103" t="s">
        <v>65</v>
      </c>
      <c r="G30" s="104">
        <f>+C12</f>
        <v>82902.034482758623</v>
      </c>
      <c r="H30" s="105">
        <v>100789.95</v>
      </c>
      <c r="I30" s="106" t="s">
        <v>66</v>
      </c>
      <c r="J30" s="107">
        <f t="shared" ref="J30:J37" si="2">((G30-H30)/H30)</f>
        <v>-0.17747717423454792</v>
      </c>
      <c r="K30" s="108">
        <f t="shared" ref="K30:K37" si="3">+G30-H30</f>
        <v>-17887.915517241374</v>
      </c>
      <c r="L30" s="3"/>
    </row>
    <row r="31" spans="1:12" ht="15.75">
      <c r="A31" s="98" t="s">
        <v>60</v>
      </c>
      <c r="B31" s="99"/>
      <c r="C31" s="101">
        <v>71.92</v>
      </c>
      <c r="D31" s="102"/>
      <c r="E31" s="1"/>
      <c r="F31" s="103" t="s">
        <v>67</v>
      </c>
      <c r="G31" s="109">
        <f>+C19</f>
        <v>1171</v>
      </c>
      <c r="H31" s="110">
        <f>+(C21*5%)+C21</f>
        <v>874.65</v>
      </c>
      <c r="I31" s="111" t="s">
        <v>68</v>
      </c>
      <c r="J31" s="107">
        <f t="shared" si="2"/>
        <v>0.33882124278282744</v>
      </c>
      <c r="K31" s="112">
        <f t="shared" si="3"/>
        <v>296.35000000000002</v>
      </c>
      <c r="L31" s="3"/>
    </row>
    <row r="32" spans="1:12" ht="15.75">
      <c r="A32" s="98" t="s">
        <v>60</v>
      </c>
      <c r="B32" s="99"/>
      <c r="C32" s="101"/>
      <c r="D32" s="102"/>
      <c r="E32" s="1"/>
      <c r="F32" s="103" t="s">
        <v>46</v>
      </c>
      <c r="G32" s="104">
        <f>+C22</f>
        <v>70.795930386642723</v>
      </c>
      <c r="H32" s="104">
        <v>60</v>
      </c>
      <c r="I32" s="113" t="s">
        <v>66</v>
      </c>
      <c r="J32" s="107">
        <f t="shared" si="2"/>
        <v>0.17993217311071205</v>
      </c>
      <c r="K32" s="108">
        <f t="shared" si="3"/>
        <v>10.795930386642723</v>
      </c>
      <c r="L32" s="3"/>
    </row>
    <row r="33" spans="1:12" ht="15.75">
      <c r="A33" s="71" t="s">
        <v>69</v>
      </c>
      <c r="B33" s="99"/>
      <c r="C33" s="101"/>
      <c r="D33" s="102"/>
      <c r="E33" s="1"/>
      <c r="F33" s="103" t="s">
        <v>70</v>
      </c>
      <c r="G33" s="104">
        <f>+H16</f>
        <v>14726.8</v>
      </c>
      <c r="H33" s="104">
        <f>+G30*10%</f>
        <v>8290.2034482758627</v>
      </c>
      <c r="I33" s="114" t="s">
        <v>71</v>
      </c>
      <c r="J33" s="107">
        <f t="shared" si="2"/>
        <v>0.77640996290178788</v>
      </c>
      <c r="K33" s="108">
        <f t="shared" si="3"/>
        <v>6436.5965517241366</v>
      </c>
      <c r="L33" s="3"/>
    </row>
    <row r="34" spans="1:12" ht="15.75">
      <c r="A34" s="71" t="s">
        <v>72</v>
      </c>
      <c r="B34" s="99"/>
      <c r="C34" s="101"/>
      <c r="D34" s="102"/>
      <c r="E34" s="1"/>
      <c r="F34" s="103" t="s">
        <v>73</v>
      </c>
      <c r="G34" s="104">
        <f>+H24</f>
        <v>729.73</v>
      </c>
      <c r="H34" s="104">
        <f>+G30*2%</f>
        <v>1658.0406896551724</v>
      </c>
      <c r="I34" s="114" t="s">
        <v>74</v>
      </c>
      <c r="J34" s="107">
        <f t="shared" si="2"/>
        <v>-0.55988414243816653</v>
      </c>
      <c r="K34" s="108">
        <f t="shared" si="3"/>
        <v>-928.31068965517238</v>
      </c>
      <c r="L34" s="3"/>
    </row>
    <row r="35" spans="1:12" ht="15.75">
      <c r="A35" s="71" t="s">
        <v>72</v>
      </c>
      <c r="B35" s="115"/>
      <c r="C35" s="101"/>
      <c r="D35" s="102"/>
      <c r="E35" s="1"/>
      <c r="F35" s="103" t="s">
        <v>75</v>
      </c>
      <c r="G35" s="104">
        <f>+C52</f>
        <v>241.14</v>
      </c>
      <c r="H35" s="104">
        <f>+G30*0.2%</f>
        <v>165.80406896551725</v>
      </c>
      <c r="I35" s="116" t="s">
        <v>76</v>
      </c>
      <c r="J35" s="107">
        <f t="shared" si="2"/>
        <v>0.45436720283475418</v>
      </c>
      <c r="K35" s="108">
        <f t="shared" si="3"/>
        <v>75.335931034482741</v>
      </c>
      <c r="L35" s="3"/>
    </row>
    <row r="36" spans="1:12" ht="15.75">
      <c r="A36" s="71" t="s">
        <v>72</v>
      </c>
      <c r="B36" s="115"/>
      <c r="C36" s="101"/>
      <c r="D36" s="102"/>
      <c r="E36" s="1"/>
      <c r="F36" s="103" t="s">
        <v>77</v>
      </c>
      <c r="G36" s="104">
        <f>+C53</f>
        <v>0</v>
      </c>
      <c r="H36" s="104">
        <f>+G30*0.5%</f>
        <v>414.5101724137931</v>
      </c>
      <c r="I36" s="116" t="s">
        <v>78</v>
      </c>
      <c r="J36" s="107">
        <f t="shared" si="2"/>
        <v>-1</v>
      </c>
      <c r="K36" s="108">
        <f t="shared" si="3"/>
        <v>-414.5101724137931</v>
      </c>
      <c r="L36" s="3"/>
    </row>
    <row r="37" spans="1:12" ht="16.5" thickBot="1">
      <c r="A37" s="71" t="s">
        <v>72</v>
      </c>
      <c r="B37" s="99"/>
      <c r="C37" s="101"/>
      <c r="D37" s="102"/>
      <c r="E37" s="1"/>
      <c r="F37" s="103" t="s">
        <v>79</v>
      </c>
      <c r="G37" s="104">
        <f>+C45</f>
        <v>15952.13</v>
      </c>
      <c r="H37" s="104">
        <f>+C12*34%</f>
        <v>28186.691724137934</v>
      </c>
      <c r="I37" s="117" t="s">
        <v>80</v>
      </c>
      <c r="J37" s="107">
        <f t="shared" si="2"/>
        <v>-0.43405454758143025</v>
      </c>
      <c r="K37" s="108">
        <f t="shared" si="3"/>
        <v>-12234.561724137935</v>
      </c>
      <c r="L37" s="3"/>
    </row>
    <row r="38" spans="1:12" ht="15.75" thickBot="1">
      <c r="A38" s="71" t="s">
        <v>72</v>
      </c>
      <c r="B38" s="99"/>
      <c r="C38" s="101"/>
      <c r="D38" s="102"/>
      <c r="E38" s="1"/>
      <c r="F38" s="118"/>
      <c r="G38" s="119"/>
      <c r="H38" s="119"/>
      <c r="I38" s="119"/>
      <c r="J38" s="119"/>
      <c r="K38" s="120"/>
      <c r="L38" s="3"/>
    </row>
    <row r="39" spans="1:12" ht="15.75" thickBot="1">
      <c r="A39" s="121" t="s">
        <v>81</v>
      </c>
      <c r="B39" s="122"/>
      <c r="C39" s="101"/>
      <c r="D39" s="123"/>
      <c r="E39" s="1"/>
      <c r="F39" s="124" t="s">
        <v>82</v>
      </c>
      <c r="G39" s="125"/>
      <c r="H39" s="125"/>
      <c r="I39" s="125"/>
      <c r="J39" s="125"/>
      <c r="K39" s="126"/>
      <c r="L39" s="3"/>
    </row>
    <row r="40" spans="1:12">
      <c r="A40" s="121" t="s">
        <v>81</v>
      </c>
      <c r="B40" s="122"/>
      <c r="C40" s="101"/>
      <c r="D40" s="123"/>
      <c r="E40" s="1"/>
      <c r="F40" s="127" t="s">
        <v>83</v>
      </c>
      <c r="G40" s="127" t="s">
        <v>84</v>
      </c>
      <c r="H40" s="127" t="s">
        <v>85</v>
      </c>
      <c r="I40" s="127" t="s">
        <v>86</v>
      </c>
      <c r="J40" s="128" t="s">
        <v>87</v>
      </c>
      <c r="K40" s="127" t="s">
        <v>88</v>
      </c>
      <c r="L40" s="3"/>
    </row>
    <row r="41" spans="1:12">
      <c r="A41" s="121" t="s">
        <v>81</v>
      </c>
      <c r="B41" s="122"/>
      <c r="C41" s="101"/>
      <c r="D41" s="123"/>
      <c r="E41" s="1"/>
      <c r="F41" s="129" t="s">
        <v>89</v>
      </c>
      <c r="G41" s="130"/>
      <c r="H41" s="131"/>
      <c r="I41" s="131"/>
      <c r="J41" s="131"/>
      <c r="K41" s="130"/>
      <c r="L41" s="3"/>
    </row>
    <row r="42" spans="1:12">
      <c r="A42" s="121" t="s">
        <v>81</v>
      </c>
      <c r="B42" s="122"/>
      <c r="C42" s="101"/>
      <c r="D42" s="132"/>
      <c r="E42" s="1"/>
      <c r="F42" s="129" t="s">
        <v>90</v>
      </c>
      <c r="G42" s="131"/>
      <c r="H42" s="131"/>
      <c r="I42" s="131"/>
      <c r="J42" s="131"/>
      <c r="K42" s="131"/>
      <c r="L42" s="3"/>
    </row>
    <row r="43" spans="1:12" ht="15.75" thickBot="1">
      <c r="A43" s="60" t="s">
        <v>91</v>
      </c>
      <c r="B43" s="133"/>
      <c r="C43" s="134">
        <f>SUM(C28:C42)</f>
        <v>15952.13</v>
      </c>
      <c r="D43" s="63"/>
      <c r="E43" s="1"/>
      <c r="F43" s="129" t="s">
        <v>92</v>
      </c>
      <c r="G43" s="130"/>
      <c r="H43" s="131"/>
      <c r="I43" s="131"/>
      <c r="J43" s="131"/>
      <c r="K43" s="130"/>
      <c r="L43" s="3"/>
    </row>
    <row r="44" spans="1:12" ht="15.75" thickBot="1">
      <c r="A44" s="88" t="s">
        <v>93</v>
      </c>
      <c r="B44" s="89"/>
      <c r="C44" s="90"/>
      <c r="D44" s="56"/>
      <c r="E44" s="1"/>
      <c r="F44" s="129" t="s">
        <v>94</v>
      </c>
      <c r="G44" s="135">
        <f>G41+G42-G43</f>
        <v>0</v>
      </c>
      <c r="H44" s="135">
        <f>H41+H42-H43</f>
        <v>0</v>
      </c>
      <c r="I44" s="135">
        <f>I41+I42-I43</f>
        <v>0</v>
      </c>
      <c r="J44" s="135">
        <f>J41+J42-J43</f>
        <v>0</v>
      </c>
      <c r="K44" s="135">
        <f>K41+K42-K43</f>
        <v>0</v>
      </c>
      <c r="L44" s="3"/>
    </row>
    <row r="45" spans="1:12" ht="15.75" thickBot="1">
      <c r="A45" s="136" t="s">
        <v>95</v>
      </c>
      <c r="B45" s="137"/>
      <c r="C45" s="138">
        <f>+(C27+C43)-C44</f>
        <v>15952.13</v>
      </c>
      <c r="D45" s="139">
        <f>+C45/C$12</f>
        <v>0.19242145382231374</v>
      </c>
      <c r="E45" s="1"/>
      <c r="F45" s="129" t="s">
        <v>96</v>
      </c>
      <c r="G45" s="140"/>
      <c r="H45" s="140"/>
      <c r="I45" s="140"/>
      <c r="J45" s="140"/>
      <c r="K45" s="140"/>
      <c r="L45" s="3"/>
    </row>
    <row r="46" spans="1:12" ht="15.75" thickBot="1">
      <c r="A46" s="136"/>
      <c r="B46" s="137"/>
      <c r="C46" s="141"/>
      <c r="D46" s="142"/>
      <c r="E46" s="1"/>
      <c r="F46" s="143" t="s">
        <v>97</v>
      </c>
      <c r="G46" s="144">
        <f>G45+G48-G44-G49</f>
        <v>0</v>
      </c>
      <c r="H46" s="144">
        <f>H45+H48-H44-H49</f>
        <v>0</v>
      </c>
      <c r="I46" s="144">
        <f>I45+I48-I44-I49</f>
        <v>0</v>
      </c>
      <c r="J46" s="144">
        <f>J45+J48-J44-J49</f>
        <v>0</v>
      </c>
      <c r="K46" s="144">
        <f>K45+K48-K44-K49</f>
        <v>0</v>
      </c>
      <c r="L46" s="3"/>
    </row>
    <row r="47" spans="1:12">
      <c r="A47" s="32" t="s">
        <v>98</v>
      </c>
      <c r="B47" s="33"/>
      <c r="C47" s="145">
        <f>+C75+C76+C77+C78+C79+C80+C81</f>
        <v>29498.390000000003</v>
      </c>
      <c r="D47" s="146">
        <f>+C47/C$12</f>
        <v>0.35582226882664586</v>
      </c>
      <c r="E47" s="1"/>
      <c r="F47" s="129" t="s">
        <v>99</v>
      </c>
      <c r="G47" s="147">
        <f>+G46*I10</f>
        <v>0</v>
      </c>
      <c r="H47" s="147">
        <f>+H46*$I$8</f>
        <v>0</v>
      </c>
      <c r="I47" s="147">
        <f>+I46*$I$8</f>
        <v>0</v>
      </c>
      <c r="J47" s="147">
        <f>+J46*$I$8</f>
        <v>0</v>
      </c>
      <c r="K47" s="147">
        <f>+K46*I16</f>
        <v>0</v>
      </c>
      <c r="L47" s="3"/>
    </row>
    <row r="48" spans="1:12">
      <c r="A48" s="47" t="s">
        <v>100</v>
      </c>
      <c r="B48" s="48"/>
      <c r="C48" s="148">
        <f>C45-C47</f>
        <v>-13546.260000000004</v>
      </c>
      <c r="D48" s="59">
        <f>D45-D47</f>
        <v>-0.16340081500433212</v>
      </c>
      <c r="E48" s="1"/>
      <c r="F48" s="149" t="s">
        <v>75</v>
      </c>
      <c r="G48" s="150"/>
      <c r="H48" s="150"/>
      <c r="I48" s="150"/>
      <c r="J48" s="150"/>
      <c r="K48" s="150"/>
      <c r="L48" s="3"/>
    </row>
    <row r="49" spans="1:12">
      <c r="A49" s="151"/>
      <c r="B49" s="151"/>
      <c r="C49" s="152"/>
      <c r="D49" s="153"/>
      <c r="E49" s="1"/>
      <c r="F49" s="149" t="s">
        <v>101</v>
      </c>
      <c r="G49" s="154"/>
      <c r="H49" s="154"/>
      <c r="I49" s="154"/>
      <c r="J49" s="154"/>
      <c r="K49" s="154"/>
      <c r="L49" s="3"/>
    </row>
    <row r="50" spans="1:12">
      <c r="A50" s="19" t="s">
        <v>102</v>
      </c>
      <c r="B50" s="155"/>
      <c r="C50" s="155"/>
      <c r="D50" s="20"/>
      <c r="E50" s="1"/>
      <c r="F50" s="19" t="s">
        <v>82</v>
      </c>
      <c r="G50" s="155"/>
      <c r="H50" s="155"/>
      <c r="I50" s="155"/>
      <c r="J50" s="155"/>
      <c r="K50" s="155"/>
      <c r="L50" s="3"/>
    </row>
    <row r="51" spans="1:12">
      <c r="A51" s="32" t="s">
        <v>103</v>
      </c>
      <c r="B51" s="69"/>
      <c r="C51" s="156">
        <f>(C45-C52-C53)</f>
        <v>15710.99</v>
      </c>
      <c r="D51" s="56">
        <f>+C51/C$12</f>
        <v>0.18951271941664424</v>
      </c>
      <c r="E51" s="1"/>
      <c r="F51" s="149" t="s">
        <v>83</v>
      </c>
      <c r="G51" s="149" t="s">
        <v>104</v>
      </c>
      <c r="H51" s="149" t="s">
        <v>105</v>
      </c>
      <c r="I51" s="149" t="s">
        <v>106</v>
      </c>
      <c r="J51" s="149" t="s">
        <v>107</v>
      </c>
      <c r="K51" s="149" t="s">
        <v>108</v>
      </c>
      <c r="L51" s="3"/>
    </row>
    <row r="52" spans="1:12">
      <c r="A52" s="32" t="s">
        <v>109</v>
      </c>
      <c r="B52" s="69"/>
      <c r="C52" s="157">
        <v>241.14</v>
      </c>
      <c r="D52" s="56">
        <f>+C52/C$12</f>
        <v>2.9087344056695085E-3</v>
      </c>
      <c r="E52" s="1"/>
      <c r="F52" s="129" t="s">
        <v>89</v>
      </c>
      <c r="G52" s="131"/>
      <c r="H52" s="131"/>
      <c r="I52" s="131"/>
      <c r="J52" s="131"/>
      <c r="K52" s="130"/>
      <c r="L52" s="3"/>
    </row>
    <row r="53" spans="1:12">
      <c r="A53" s="32" t="s">
        <v>77</v>
      </c>
      <c r="B53" s="69"/>
      <c r="C53" s="157"/>
      <c r="D53" s="56">
        <f>+C53/C$12</f>
        <v>0</v>
      </c>
      <c r="E53" s="1"/>
      <c r="F53" s="129" t="s">
        <v>90</v>
      </c>
      <c r="G53" s="131"/>
      <c r="H53" s="131"/>
      <c r="I53" s="131"/>
      <c r="J53" s="131"/>
      <c r="K53" s="131"/>
      <c r="L53" s="3"/>
    </row>
    <row r="54" spans="1:12" ht="15.75" thickBot="1">
      <c r="A54" s="158" t="s">
        <v>54</v>
      </c>
      <c r="B54" s="159"/>
      <c r="C54" s="160">
        <f>+C51+C52+C53</f>
        <v>15952.13</v>
      </c>
      <c r="D54" s="161">
        <f>+C54/C$12</f>
        <v>0.19242145382231374</v>
      </c>
      <c r="E54" s="1"/>
      <c r="F54" s="129" t="s">
        <v>92</v>
      </c>
      <c r="G54" s="131"/>
      <c r="H54" s="131"/>
      <c r="I54" s="131"/>
      <c r="J54" s="131"/>
      <c r="K54" s="130"/>
      <c r="L54" s="3"/>
    </row>
    <row r="55" spans="1:12" ht="16.5" thickBot="1">
      <c r="A55" s="32" t="s">
        <v>110</v>
      </c>
      <c r="B55" s="69"/>
      <c r="C55" s="162"/>
      <c r="D55" s="56">
        <f>+C55/C12</f>
        <v>0</v>
      </c>
      <c r="E55" s="1"/>
      <c r="F55" s="129" t="s">
        <v>94</v>
      </c>
      <c r="G55" s="135">
        <f>G52+G53-G54</f>
        <v>0</v>
      </c>
      <c r="H55" s="135">
        <f>H52+H53-H54</f>
        <v>0</v>
      </c>
      <c r="I55" s="135">
        <f>I52+I53-I54</f>
        <v>0</v>
      </c>
      <c r="J55" s="135">
        <f>J52+J53-J54</f>
        <v>0</v>
      </c>
      <c r="K55" s="135">
        <f>K52+K53-K54</f>
        <v>0</v>
      </c>
      <c r="L55" s="3"/>
    </row>
    <row r="56" spans="1:12" ht="15.75" thickBot="1">
      <c r="A56" s="163" t="s">
        <v>111</v>
      </c>
      <c r="B56" s="164"/>
      <c r="C56" s="165">
        <f>+C12-((C12*6.85%)+C54+C55)</f>
        <v>61271.115120689661</v>
      </c>
      <c r="D56" s="50">
        <f>+C56/C12</f>
        <v>0.73907854617768631</v>
      </c>
      <c r="E56" s="1"/>
      <c r="F56" s="129" t="s">
        <v>96</v>
      </c>
      <c r="G56" s="140"/>
      <c r="H56" s="140"/>
      <c r="I56" s="140"/>
      <c r="J56" s="140"/>
      <c r="K56" s="140"/>
      <c r="L56" s="3"/>
    </row>
    <row r="57" spans="1:12" ht="15.75" thickBot="1">
      <c r="A57" s="19" t="s">
        <v>112</v>
      </c>
      <c r="B57" s="155"/>
      <c r="C57" s="155"/>
      <c r="D57" s="166"/>
      <c r="E57" s="1"/>
      <c r="F57" s="143" t="s">
        <v>97</v>
      </c>
      <c r="G57" s="144">
        <f>G56+G59-G55-G60</f>
        <v>0</v>
      </c>
      <c r="H57" s="144">
        <f>H56+H59-H55-H60</f>
        <v>0</v>
      </c>
      <c r="I57" s="144">
        <f>I56+I59-I55-I60</f>
        <v>0</v>
      </c>
      <c r="J57" s="144">
        <f>J56+J59-J55-J60</f>
        <v>0</v>
      </c>
      <c r="K57" s="144">
        <f>K56+K59-K55-K60</f>
        <v>0</v>
      </c>
      <c r="L57" s="3"/>
    </row>
    <row r="58" spans="1:12">
      <c r="A58" s="167" t="s">
        <v>113</v>
      </c>
      <c r="B58" s="168"/>
      <c r="C58" s="169">
        <v>14097.27</v>
      </c>
      <c r="D58" s="170">
        <f>+C58/$C$12</f>
        <v>0.17004733463968066</v>
      </c>
      <c r="E58" s="1"/>
      <c r="F58" s="129" t="s">
        <v>99</v>
      </c>
      <c r="G58" s="147">
        <f>+G57*I18</f>
        <v>0</v>
      </c>
      <c r="H58" s="147">
        <f>+H57*I13</f>
        <v>0</v>
      </c>
      <c r="I58" s="147">
        <f>+I57*I15</f>
        <v>0</v>
      </c>
      <c r="J58" s="147">
        <f>+J57*I11</f>
        <v>0</v>
      </c>
      <c r="K58" s="147">
        <f>+K57*I12</f>
        <v>0</v>
      </c>
      <c r="L58" s="3"/>
    </row>
    <row r="59" spans="1:12">
      <c r="A59" s="171" t="s">
        <v>114</v>
      </c>
      <c r="B59" s="172"/>
      <c r="C59" s="173">
        <v>5085.51</v>
      </c>
      <c r="D59" s="174">
        <f t="shared" ref="D59:D64" si="4">+C59/$C$12</f>
        <v>6.134360913733243E-2</v>
      </c>
      <c r="E59" s="1"/>
      <c r="F59" s="149" t="s">
        <v>75</v>
      </c>
      <c r="G59" s="150"/>
      <c r="H59" s="150"/>
      <c r="I59" s="150"/>
      <c r="J59" s="150"/>
      <c r="K59" s="150"/>
      <c r="L59" s="3"/>
    </row>
    <row r="60" spans="1:12">
      <c r="A60" s="171" t="s">
        <v>115</v>
      </c>
      <c r="B60" s="172"/>
      <c r="C60" s="173">
        <v>10082</v>
      </c>
      <c r="D60" s="174">
        <f t="shared" si="4"/>
        <v>0.12161342074297082</v>
      </c>
      <c r="E60" s="1"/>
      <c r="F60" s="149" t="s">
        <v>101</v>
      </c>
      <c r="G60" s="154"/>
      <c r="H60" s="154"/>
      <c r="I60" s="154"/>
      <c r="J60" s="154"/>
      <c r="K60" s="154"/>
      <c r="L60" s="3"/>
    </row>
    <row r="61" spans="1:12">
      <c r="A61" s="171" t="s">
        <v>116</v>
      </c>
      <c r="B61" s="172"/>
      <c r="C61" s="173">
        <v>5392.27</v>
      </c>
      <c r="D61" s="174">
        <f t="shared" si="4"/>
        <v>6.5043880209254057E-2</v>
      </c>
      <c r="E61" s="1"/>
      <c r="F61" s="175" t="s">
        <v>117</v>
      </c>
      <c r="G61" s="176"/>
      <c r="H61" s="176"/>
      <c r="I61" s="176"/>
      <c r="J61" s="176"/>
      <c r="K61" s="176"/>
      <c r="L61" s="3"/>
    </row>
    <row r="62" spans="1:12">
      <c r="A62" s="171" t="s">
        <v>118</v>
      </c>
      <c r="B62" s="172"/>
      <c r="C62" s="173">
        <v>13281.69</v>
      </c>
      <c r="D62" s="174">
        <f t="shared" si="4"/>
        <v>0.16020945786031623</v>
      </c>
      <c r="E62" s="1"/>
      <c r="F62" s="177" t="s">
        <v>119</v>
      </c>
      <c r="G62" s="178"/>
      <c r="H62" s="178"/>
      <c r="I62" s="178"/>
      <c r="J62" s="178"/>
      <c r="K62" s="178"/>
      <c r="L62" s="3"/>
    </row>
    <row r="63" spans="1:12">
      <c r="A63" s="171" t="s">
        <v>120</v>
      </c>
      <c r="B63" s="172"/>
      <c r="C63" s="173">
        <v>16181.67</v>
      </c>
      <c r="D63" s="174">
        <f t="shared" si="4"/>
        <v>0.19519026403827699</v>
      </c>
      <c r="E63" s="1"/>
      <c r="F63" s="179" t="s">
        <v>121</v>
      </c>
      <c r="G63" s="180"/>
      <c r="H63" s="181">
        <f t="shared" ref="H63:H80" si="5">+G63/$C$19</f>
        <v>0</v>
      </c>
      <c r="I63" s="182"/>
      <c r="J63" s="180"/>
      <c r="K63" s="181">
        <f t="shared" ref="K63:K80" si="6">+J63/$C$19</f>
        <v>0</v>
      </c>
      <c r="L63" s="3"/>
    </row>
    <row r="64" spans="1:12">
      <c r="A64" s="183" t="s">
        <v>122</v>
      </c>
      <c r="B64" s="184"/>
      <c r="C64" s="185">
        <v>18781.22</v>
      </c>
      <c r="D64" s="186">
        <f t="shared" si="4"/>
        <v>0.22654715432714725</v>
      </c>
      <c r="E64" s="1"/>
      <c r="F64" s="179" t="s">
        <v>123</v>
      </c>
      <c r="G64" s="187"/>
      <c r="H64" s="181">
        <f t="shared" si="5"/>
        <v>0</v>
      </c>
      <c r="I64" s="179"/>
      <c r="J64" s="180"/>
      <c r="K64" s="181">
        <f t="shared" si="6"/>
        <v>0</v>
      </c>
      <c r="L64" s="3"/>
    </row>
    <row r="65" spans="1:12">
      <c r="A65" s="1"/>
      <c r="B65" s="188">
        <f>+C12</f>
        <v>82902.034482758623</v>
      </c>
      <c r="C65" s="189"/>
      <c r="D65" s="190">
        <f>SUM(D58:D64)</f>
        <v>0.99999512095497844</v>
      </c>
      <c r="E65" s="1"/>
      <c r="F65" s="179" t="s">
        <v>124</v>
      </c>
      <c r="G65" s="187"/>
      <c r="H65" s="181">
        <f t="shared" si="5"/>
        <v>0</v>
      </c>
      <c r="I65" s="179"/>
      <c r="J65" s="180"/>
      <c r="K65" s="181">
        <f t="shared" si="6"/>
        <v>0</v>
      </c>
      <c r="L65" s="3"/>
    </row>
    <row r="66" spans="1:12">
      <c r="A66" s="19" t="s">
        <v>125</v>
      </c>
      <c r="B66" s="155"/>
      <c r="C66" s="155"/>
      <c r="D66" s="166"/>
      <c r="E66" s="1"/>
      <c r="F66" s="179" t="s">
        <v>126</v>
      </c>
      <c r="G66" s="187"/>
      <c r="H66" s="181">
        <f t="shared" si="5"/>
        <v>0</v>
      </c>
      <c r="I66" s="179"/>
      <c r="J66" s="180"/>
      <c r="K66" s="181">
        <f t="shared" si="6"/>
        <v>0</v>
      </c>
      <c r="L66" s="3"/>
    </row>
    <row r="67" spans="1:12">
      <c r="A67" s="167" t="s">
        <v>113</v>
      </c>
      <c r="B67" s="168"/>
      <c r="C67" s="191">
        <v>187</v>
      </c>
      <c r="D67" s="170">
        <f>+C67/$C$19</f>
        <v>0.1596925704526046</v>
      </c>
      <c r="E67" s="1"/>
      <c r="F67" s="179" t="s">
        <v>127</v>
      </c>
      <c r="G67" s="187"/>
      <c r="H67" s="181">
        <f t="shared" si="5"/>
        <v>0</v>
      </c>
      <c r="I67" s="179"/>
      <c r="J67" s="180"/>
      <c r="K67" s="181">
        <f t="shared" si="6"/>
        <v>0</v>
      </c>
      <c r="L67" s="3"/>
    </row>
    <row r="68" spans="1:12">
      <c r="A68" s="171" t="s">
        <v>114</v>
      </c>
      <c r="B68" s="172"/>
      <c r="C68" s="192">
        <v>80</v>
      </c>
      <c r="D68" s="174">
        <f t="shared" ref="D68:D73" si="7">+C68/$C$19</f>
        <v>6.8317677198975232E-2</v>
      </c>
      <c r="E68" s="1"/>
      <c r="F68" s="179" t="s">
        <v>128</v>
      </c>
      <c r="G68" s="187"/>
      <c r="H68" s="181">
        <f t="shared" si="5"/>
        <v>0</v>
      </c>
      <c r="I68" s="179"/>
      <c r="J68" s="180"/>
      <c r="K68" s="181">
        <f t="shared" si="6"/>
        <v>0</v>
      </c>
      <c r="L68" s="3"/>
    </row>
    <row r="69" spans="1:12">
      <c r="A69" s="171" t="s">
        <v>115</v>
      </c>
      <c r="B69" s="172"/>
      <c r="C69" s="192">
        <v>177</v>
      </c>
      <c r="D69" s="174">
        <f t="shared" si="7"/>
        <v>0.15115286080273271</v>
      </c>
      <c r="E69" s="1"/>
      <c r="F69" s="179" t="s">
        <v>129</v>
      </c>
      <c r="G69" s="187"/>
      <c r="H69" s="181">
        <f t="shared" si="5"/>
        <v>0</v>
      </c>
      <c r="I69" s="179"/>
      <c r="J69" s="180"/>
      <c r="K69" s="181">
        <f t="shared" si="6"/>
        <v>0</v>
      </c>
      <c r="L69" s="3"/>
    </row>
    <row r="70" spans="1:12">
      <c r="A70" s="171" t="s">
        <v>116</v>
      </c>
      <c r="B70" s="172"/>
      <c r="C70" s="192">
        <v>103</v>
      </c>
      <c r="D70" s="174">
        <f t="shared" si="7"/>
        <v>8.7959009393680621E-2</v>
      </c>
      <c r="E70" s="1"/>
      <c r="F70" s="179" t="s">
        <v>130</v>
      </c>
      <c r="G70" s="187"/>
      <c r="H70" s="181">
        <f t="shared" si="5"/>
        <v>0</v>
      </c>
      <c r="I70" s="193" t="s">
        <v>131</v>
      </c>
      <c r="J70" s="194"/>
      <c r="K70" s="195"/>
      <c r="L70" s="3"/>
    </row>
    <row r="71" spans="1:12">
      <c r="A71" s="171" t="s">
        <v>118</v>
      </c>
      <c r="B71" s="172"/>
      <c r="C71" s="192">
        <v>182</v>
      </c>
      <c r="D71" s="174">
        <f t="shared" si="7"/>
        <v>0.15542271562766866</v>
      </c>
      <c r="E71" s="1"/>
      <c r="F71" s="179" t="s">
        <v>132</v>
      </c>
      <c r="G71" s="180"/>
      <c r="H71" s="181">
        <f t="shared" si="5"/>
        <v>0</v>
      </c>
      <c r="I71" s="182" t="s">
        <v>133</v>
      </c>
      <c r="J71" s="187"/>
      <c r="K71" s="181">
        <f t="shared" si="6"/>
        <v>0</v>
      </c>
      <c r="L71" s="3"/>
    </row>
    <row r="72" spans="1:12">
      <c r="A72" s="171" t="s">
        <v>120</v>
      </c>
      <c r="B72" s="172"/>
      <c r="C72" s="192">
        <v>196</v>
      </c>
      <c r="D72" s="174">
        <f t="shared" si="7"/>
        <v>0.16737830913748933</v>
      </c>
      <c r="E72" s="1"/>
      <c r="F72" s="179" t="s">
        <v>134</v>
      </c>
      <c r="G72" s="180"/>
      <c r="H72" s="181">
        <f t="shared" si="5"/>
        <v>0</v>
      </c>
      <c r="I72" s="182"/>
      <c r="J72" s="187"/>
      <c r="K72" s="181">
        <f t="shared" si="6"/>
        <v>0</v>
      </c>
      <c r="L72" s="3"/>
    </row>
    <row r="73" spans="1:12">
      <c r="A73" s="183" t="s">
        <v>122</v>
      </c>
      <c r="B73" s="184"/>
      <c r="C73" s="196">
        <v>246</v>
      </c>
      <c r="D73" s="186">
        <f t="shared" si="7"/>
        <v>0.21007685738684884</v>
      </c>
      <c r="E73" s="1"/>
      <c r="F73" s="179" t="s">
        <v>135</v>
      </c>
      <c r="G73" s="180"/>
      <c r="H73" s="181">
        <f t="shared" si="5"/>
        <v>0</v>
      </c>
      <c r="I73" s="182"/>
      <c r="J73" s="187"/>
      <c r="K73" s="181">
        <f t="shared" si="6"/>
        <v>0</v>
      </c>
      <c r="L73" s="3"/>
    </row>
    <row r="74" spans="1:12">
      <c r="A74" s="19" t="s">
        <v>136</v>
      </c>
      <c r="B74" s="155"/>
      <c r="C74" s="155"/>
      <c r="D74" s="197"/>
      <c r="E74" s="1"/>
      <c r="F74" s="179" t="s">
        <v>137</v>
      </c>
      <c r="G74" s="180"/>
      <c r="H74" s="181">
        <f t="shared" si="5"/>
        <v>0</v>
      </c>
      <c r="I74" s="182"/>
      <c r="J74" s="187"/>
      <c r="K74" s="181">
        <f t="shared" si="6"/>
        <v>0</v>
      </c>
      <c r="L74" s="3"/>
    </row>
    <row r="75" spans="1:12">
      <c r="A75" s="167" t="s">
        <v>113</v>
      </c>
      <c r="B75" s="168"/>
      <c r="C75" s="169">
        <v>4869.88</v>
      </c>
      <c r="D75" s="170">
        <f>+C75/C58</f>
        <v>0.34544844498261013</v>
      </c>
      <c r="E75" s="1"/>
      <c r="F75" s="179" t="s">
        <v>138</v>
      </c>
      <c r="G75" s="180"/>
      <c r="H75" s="181">
        <f t="shared" si="5"/>
        <v>0</v>
      </c>
      <c r="I75" s="182"/>
      <c r="J75" s="187"/>
      <c r="K75" s="181">
        <f t="shared" si="6"/>
        <v>0</v>
      </c>
      <c r="L75" s="3"/>
    </row>
    <row r="76" spans="1:12">
      <c r="A76" s="171" t="s">
        <v>114</v>
      </c>
      <c r="B76" s="172"/>
      <c r="C76" s="173">
        <v>1737.33</v>
      </c>
      <c r="D76" s="174">
        <f t="shared" ref="D76:D81" si="8">+C76/C59</f>
        <v>0.34162355397983679</v>
      </c>
      <c r="E76" s="1"/>
      <c r="F76" s="179"/>
      <c r="G76" s="180"/>
      <c r="H76" s="181">
        <f t="shared" si="5"/>
        <v>0</v>
      </c>
      <c r="I76" s="179" t="s">
        <v>113</v>
      </c>
      <c r="J76" s="187"/>
      <c r="K76" s="181">
        <f t="shared" si="6"/>
        <v>0</v>
      </c>
      <c r="L76" s="3"/>
    </row>
    <row r="77" spans="1:12">
      <c r="A77" s="171" t="s">
        <v>115</v>
      </c>
      <c r="B77" s="172"/>
      <c r="C77" s="173">
        <v>4334.78</v>
      </c>
      <c r="D77" s="174">
        <f t="shared" si="8"/>
        <v>0.4299523903987304</v>
      </c>
      <c r="E77" s="1"/>
      <c r="F77" s="179"/>
      <c r="G77" s="180"/>
      <c r="H77" s="181">
        <f t="shared" si="5"/>
        <v>0</v>
      </c>
      <c r="I77" s="179" t="s">
        <v>114</v>
      </c>
      <c r="J77" s="187"/>
      <c r="K77" s="181">
        <f t="shared" si="6"/>
        <v>0</v>
      </c>
      <c r="L77" s="3"/>
    </row>
    <row r="78" spans="1:12">
      <c r="A78" s="171" t="s">
        <v>116</v>
      </c>
      <c r="B78" s="172"/>
      <c r="C78" s="173">
        <v>1842.48</v>
      </c>
      <c r="D78" s="174">
        <f t="shared" si="8"/>
        <v>0.34168912165006571</v>
      </c>
      <c r="E78" s="1"/>
      <c r="F78" s="179"/>
      <c r="G78" s="180"/>
      <c r="H78" s="181">
        <f t="shared" si="5"/>
        <v>0</v>
      </c>
      <c r="I78" s="179" t="s">
        <v>115</v>
      </c>
      <c r="J78" s="187"/>
      <c r="K78" s="181">
        <f t="shared" si="6"/>
        <v>0</v>
      </c>
      <c r="L78" s="3"/>
    </row>
    <row r="79" spans="1:12">
      <c r="A79" s="171" t="s">
        <v>118</v>
      </c>
      <c r="B79" s="172"/>
      <c r="C79" s="173">
        <v>4644.5</v>
      </c>
      <c r="D79" s="174">
        <f t="shared" si="8"/>
        <v>0.34969194432335038</v>
      </c>
      <c r="E79" s="198"/>
      <c r="F79" s="179"/>
      <c r="G79" s="180"/>
      <c r="H79" s="181">
        <f t="shared" si="5"/>
        <v>0</v>
      </c>
      <c r="I79" s="179" t="s">
        <v>139</v>
      </c>
      <c r="J79" s="187"/>
      <c r="K79" s="181">
        <f t="shared" si="6"/>
        <v>0</v>
      </c>
      <c r="L79" s="3"/>
    </row>
    <row r="80" spans="1:12">
      <c r="A80" s="171" t="s">
        <v>120</v>
      </c>
      <c r="B80" s="172"/>
      <c r="C80" s="173">
        <v>5681.65</v>
      </c>
      <c r="D80" s="174">
        <f t="shared" si="8"/>
        <v>0.35111641752674472</v>
      </c>
      <c r="E80" s="198"/>
      <c r="F80" s="179"/>
      <c r="G80" s="180"/>
      <c r="H80" s="181">
        <f t="shared" si="5"/>
        <v>0</v>
      </c>
      <c r="I80" s="179" t="s">
        <v>118</v>
      </c>
      <c r="J80" s="187"/>
      <c r="K80" s="181">
        <f t="shared" si="6"/>
        <v>0</v>
      </c>
      <c r="L80" s="3"/>
    </row>
    <row r="81" spans="1:12">
      <c r="A81" s="183" t="s">
        <v>122</v>
      </c>
      <c r="B81" s="184"/>
      <c r="C81" s="185">
        <v>6387.77</v>
      </c>
      <c r="D81" s="186">
        <f t="shared" si="8"/>
        <v>0.34011475292872351</v>
      </c>
      <c r="E81" s="198"/>
      <c r="F81" s="199" t="s">
        <v>140</v>
      </c>
      <c r="G81" s="200"/>
      <c r="H81" s="201"/>
      <c r="I81" s="202">
        <f>SUM(G63:G80,J63:J69)</f>
        <v>0</v>
      </c>
      <c r="J81" s="203">
        <f>+I81/C19</f>
        <v>0</v>
      </c>
      <c r="K81" s="204"/>
      <c r="L81" s="3"/>
    </row>
    <row r="82" spans="1:12">
      <c r="A82" s="205"/>
      <c r="B82" s="205"/>
      <c r="C82" s="206"/>
      <c r="D82" s="207"/>
      <c r="E82" s="208"/>
      <c r="F82" s="3"/>
      <c r="G82" s="3"/>
      <c r="H82" s="3"/>
      <c r="I82" s="3"/>
      <c r="J82" s="3"/>
      <c r="K82" s="3"/>
      <c r="L82" s="3"/>
    </row>
    <row r="83" spans="1:12">
      <c r="A83" s="205"/>
      <c r="B83" s="205"/>
      <c r="C83" s="206"/>
      <c r="D83" s="207"/>
      <c r="E83" s="208"/>
      <c r="F83" s="3"/>
      <c r="G83" s="3"/>
      <c r="H83" s="3"/>
      <c r="I83" s="3"/>
      <c r="J83" s="3"/>
      <c r="K83" s="3"/>
      <c r="L83" s="3"/>
    </row>
    <row r="84" spans="1:12">
      <c r="A84" s="205"/>
      <c r="B84" s="205"/>
      <c r="C84" s="206"/>
      <c r="D84" s="209"/>
      <c r="E84" s="208"/>
      <c r="F84" s="3"/>
      <c r="G84" s="3"/>
      <c r="H84" s="3"/>
      <c r="I84" s="3"/>
      <c r="J84" s="3"/>
      <c r="K84" s="3"/>
      <c r="L84" s="3"/>
    </row>
    <row r="85" spans="1:12">
      <c r="A85" s="210"/>
      <c r="B85" s="210"/>
      <c r="C85" s="211"/>
      <c r="D85" s="212"/>
      <c r="E85" s="208"/>
      <c r="F85" s="3"/>
      <c r="G85" s="3"/>
      <c r="H85" s="3"/>
      <c r="I85" s="3"/>
      <c r="J85" s="3"/>
      <c r="K85" s="3"/>
      <c r="L85" s="3"/>
    </row>
    <row r="86" spans="1:12">
      <c r="A86" s="213"/>
      <c r="B86" s="213"/>
      <c r="C86" s="213"/>
      <c r="D86" s="213"/>
      <c r="E86" s="208"/>
      <c r="F86" s="3"/>
      <c r="G86" s="3"/>
      <c r="H86" s="3"/>
      <c r="I86" s="3"/>
      <c r="J86" s="3"/>
      <c r="K86" s="3"/>
      <c r="L86" s="3"/>
    </row>
    <row r="87" spans="1:12">
      <c r="A87" s="214"/>
      <c r="B87" s="214"/>
      <c r="C87" s="215"/>
      <c r="D87" s="216"/>
      <c r="E87" s="208"/>
      <c r="F87" s="3"/>
      <c r="G87" s="3"/>
      <c r="H87" s="3"/>
      <c r="I87" s="3"/>
      <c r="J87" s="3"/>
      <c r="K87" s="3"/>
      <c r="L87" s="3"/>
    </row>
    <row r="88" spans="1:12">
      <c r="A88" s="214"/>
      <c r="B88" s="214"/>
      <c r="C88" s="217"/>
      <c r="D88" s="218"/>
      <c r="E88" s="3"/>
      <c r="F88" s="3"/>
      <c r="G88" s="3"/>
      <c r="H88" s="3"/>
      <c r="I88" s="3"/>
      <c r="J88" s="3"/>
      <c r="K88" s="3"/>
      <c r="L88" s="3"/>
    </row>
    <row r="89" spans="1:1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3"/>
      <c r="B90" s="3"/>
      <c r="C90" s="3"/>
      <c r="D90" s="3"/>
      <c r="E90" s="3"/>
      <c r="F90" s="3"/>
      <c r="G90" s="3"/>
      <c r="H90" s="3"/>
      <c r="I90" s="3"/>
      <c r="J90" s="3"/>
      <c r="K90" s="219"/>
      <c r="L90" s="3"/>
    </row>
    <row r="91" spans="1:1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3"/>
      <c r="B103" s="3"/>
      <c r="C103" s="3"/>
      <c r="D103" s="3"/>
      <c r="E103" s="3"/>
      <c r="F103" s="3"/>
      <c r="G103" s="3"/>
      <c r="H103" s="220"/>
      <c r="I103" s="3"/>
      <c r="J103" s="3"/>
      <c r="K103" s="3"/>
      <c r="L103" s="3"/>
    </row>
  </sheetData>
  <customSheetViews>
    <customSheetView guid="{2443864E-3EC0-42CB-9BCC-E86B96EC82D4}">
      <selection sqref="A1:L103"/>
      <pageMargins left="0.7" right="0.7" top="0.75" bottom="0.75" header="0.3" footer="0.3"/>
    </customSheetView>
  </customSheetViews>
  <mergeCells count="49">
    <mergeCell ref="F81:H81"/>
    <mergeCell ref="A57:D57"/>
    <mergeCell ref="F61:K61"/>
    <mergeCell ref="F62:K62"/>
    <mergeCell ref="A66:D66"/>
    <mergeCell ref="I70:K70"/>
    <mergeCell ref="A74:D74"/>
    <mergeCell ref="A51:B51"/>
    <mergeCell ref="A52:B52"/>
    <mergeCell ref="A53:B53"/>
    <mergeCell ref="A54:B54"/>
    <mergeCell ref="A55:B55"/>
    <mergeCell ref="A56:B56"/>
    <mergeCell ref="A46:B46"/>
    <mergeCell ref="A47:B47"/>
    <mergeCell ref="A48:B48"/>
    <mergeCell ref="A49:B49"/>
    <mergeCell ref="A50:D50"/>
    <mergeCell ref="F50:K50"/>
    <mergeCell ref="A27:B27"/>
    <mergeCell ref="F28:K28"/>
    <mergeCell ref="F39:K39"/>
    <mergeCell ref="A43:B43"/>
    <mergeCell ref="A44:B44"/>
    <mergeCell ref="A45:B45"/>
    <mergeCell ref="A19:B19"/>
    <mergeCell ref="A20:B20"/>
    <mergeCell ref="A21:B21"/>
    <mergeCell ref="A22:B22"/>
    <mergeCell ref="A23:B23"/>
    <mergeCell ref="A26:D2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B1:J1"/>
    <mergeCell ref="G2:H2"/>
    <mergeCell ref="G3:H3"/>
    <mergeCell ref="G4:H4"/>
    <mergeCell ref="A6:B6"/>
    <mergeCell ref="F6:K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3"/>
  <sheetViews>
    <sheetView workbookViewId="0">
      <selection sqref="A1:L103"/>
    </sheetView>
  </sheetViews>
  <sheetFormatPr baseColWidth="10" defaultRowHeight="15"/>
  <sheetData>
    <row r="1" spans="1:12" ht="22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1"/>
      <c r="L1" s="3"/>
    </row>
    <row r="2" spans="1:12" ht="16.5">
      <c r="A2" s="4"/>
      <c r="B2" s="3"/>
      <c r="C2" s="5"/>
      <c r="D2" s="5"/>
      <c r="E2" s="5"/>
      <c r="F2" s="5" t="s">
        <v>2</v>
      </c>
      <c r="G2" s="6"/>
      <c r="H2" s="6"/>
      <c r="I2" s="5"/>
      <c r="J2" s="5"/>
      <c r="K2" s="4"/>
      <c r="L2" s="3"/>
    </row>
    <row r="3" spans="1:12">
      <c r="A3" s="7" t="s">
        <v>3</v>
      </c>
      <c r="B3" s="8"/>
      <c r="C3" s="9"/>
      <c r="D3" s="10"/>
      <c r="E3" s="10"/>
      <c r="F3" s="11" t="s">
        <v>4</v>
      </c>
      <c r="G3" s="12"/>
      <c r="H3" s="12"/>
      <c r="I3" s="13"/>
      <c r="J3" s="14"/>
      <c r="K3" s="14"/>
      <c r="L3" s="3"/>
    </row>
    <row r="4" spans="1:12">
      <c r="A4" s="7" t="s">
        <v>5</v>
      </c>
      <c r="B4" s="8"/>
      <c r="C4" s="9"/>
      <c r="D4" s="10"/>
      <c r="E4" s="10"/>
      <c r="F4" s="11" t="s">
        <v>6</v>
      </c>
      <c r="G4" s="15"/>
      <c r="H4" s="15"/>
      <c r="I4" s="13"/>
      <c r="J4" s="11" t="s">
        <v>7</v>
      </c>
      <c r="K4" s="16"/>
      <c r="L4" s="3"/>
    </row>
    <row r="5" spans="1:12" ht="15.75" thickBot="1">
      <c r="A5" s="17"/>
      <c r="B5" s="17"/>
      <c r="C5" s="17"/>
      <c r="D5" s="17"/>
      <c r="E5" s="17"/>
      <c r="F5" s="17"/>
      <c r="G5" s="17"/>
      <c r="H5" s="17"/>
      <c r="I5" s="18"/>
      <c r="J5" s="17"/>
      <c r="K5" s="17"/>
      <c r="L5" s="3"/>
    </row>
    <row r="6" spans="1:12">
      <c r="A6" s="19" t="s">
        <v>8</v>
      </c>
      <c r="B6" s="20"/>
      <c r="C6" s="21" t="s">
        <v>9</v>
      </c>
      <c r="D6" s="21" t="s">
        <v>10</v>
      </c>
      <c r="E6" s="1"/>
      <c r="F6" s="22" t="s">
        <v>11</v>
      </c>
      <c r="G6" s="23"/>
      <c r="H6" s="23"/>
      <c r="I6" s="23"/>
      <c r="J6" s="23"/>
      <c r="K6" s="24"/>
      <c r="L6" s="3"/>
    </row>
    <row r="7" spans="1:12">
      <c r="A7" s="25" t="s">
        <v>12</v>
      </c>
      <c r="B7" s="26"/>
      <c r="C7" s="27">
        <v>17313.14</v>
      </c>
      <c r="D7" s="28"/>
      <c r="E7" s="1"/>
      <c r="F7" s="29" t="s">
        <v>13</v>
      </c>
      <c r="G7" s="30" t="s">
        <v>14</v>
      </c>
      <c r="H7" s="30" t="s">
        <v>15</v>
      </c>
      <c r="I7" s="30" t="s">
        <v>16</v>
      </c>
      <c r="J7" s="30" t="s">
        <v>17</v>
      </c>
      <c r="K7" s="31"/>
      <c r="L7" s="3"/>
    </row>
    <row r="8" spans="1:12" ht="15.75">
      <c r="A8" s="32" t="s">
        <v>18</v>
      </c>
      <c r="B8" s="33"/>
      <c r="C8" s="34"/>
      <c r="D8" s="35">
        <f>+C8/C7</f>
        <v>0</v>
      </c>
      <c r="E8" s="1"/>
      <c r="F8" s="36" t="s">
        <v>19</v>
      </c>
      <c r="G8" s="37">
        <v>379</v>
      </c>
      <c r="H8" s="38">
        <v>9189.43</v>
      </c>
      <c r="I8" s="39">
        <f t="shared" ref="I8:I25" si="0">IF(G8&gt;0,(H8/G8),0)</f>
        <v>24.246517150395778</v>
      </c>
      <c r="J8" s="40">
        <f>+H8/$C$12</f>
        <v>0.61570222386002771</v>
      </c>
      <c r="K8" s="41"/>
      <c r="L8" s="42"/>
    </row>
    <row r="9" spans="1:12" ht="15.75">
      <c r="A9" s="32" t="s">
        <v>20</v>
      </c>
      <c r="B9" s="33"/>
      <c r="C9" s="43">
        <f>((C7/1.16)-C7)*-1</f>
        <v>2388.0193103448273</v>
      </c>
      <c r="D9" s="35"/>
      <c r="E9" s="1"/>
      <c r="F9" s="36" t="s">
        <v>21</v>
      </c>
      <c r="G9" s="37">
        <v>0</v>
      </c>
      <c r="H9" s="44">
        <v>0</v>
      </c>
      <c r="I9" s="39">
        <f t="shared" si="0"/>
        <v>0</v>
      </c>
      <c r="J9" s="40">
        <f t="shared" ref="J9:J25" si="1">+H9/$C$12</f>
        <v>0</v>
      </c>
      <c r="K9" s="41"/>
      <c r="L9" s="42"/>
    </row>
    <row r="10" spans="1:12" ht="15.75">
      <c r="A10" s="32" t="s">
        <v>22</v>
      </c>
      <c r="B10" s="33"/>
      <c r="C10" s="45">
        <f>+C7-C11</f>
        <v>11895.34</v>
      </c>
      <c r="D10" s="46">
        <f>+C10/C7</f>
        <v>0.68707005199518978</v>
      </c>
      <c r="E10" s="1"/>
      <c r="F10" s="36" t="s">
        <v>23</v>
      </c>
      <c r="G10" s="37">
        <v>0</v>
      </c>
      <c r="H10" s="44">
        <v>0</v>
      </c>
      <c r="I10" s="39">
        <f t="shared" si="0"/>
        <v>0</v>
      </c>
      <c r="J10" s="40">
        <f t="shared" si="1"/>
        <v>0</v>
      </c>
      <c r="K10" s="41"/>
      <c r="L10" s="42"/>
    </row>
    <row r="11" spans="1:12" ht="15.75">
      <c r="A11" s="47" t="s">
        <v>24</v>
      </c>
      <c r="B11" s="48"/>
      <c r="C11" s="49">
        <v>5417.8</v>
      </c>
      <c r="D11" s="50">
        <f>+C11/C7</f>
        <v>0.31292994800481022</v>
      </c>
      <c r="E11" s="1"/>
      <c r="F11" s="36" t="s">
        <v>25</v>
      </c>
      <c r="G11" s="37">
        <v>54</v>
      </c>
      <c r="H11" s="44">
        <v>1172.54</v>
      </c>
      <c r="I11" s="39">
        <f t="shared" si="0"/>
        <v>21.713703703703704</v>
      </c>
      <c r="J11" s="40">
        <f t="shared" si="1"/>
        <v>7.8561508773105276E-2</v>
      </c>
      <c r="K11" s="41"/>
      <c r="L11" s="42"/>
    </row>
    <row r="12" spans="1:12" ht="15.75">
      <c r="A12" s="51" t="s">
        <v>26</v>
      </c>
      <c r="B12" s="52"/>
      <c r="C12" s="53">
        <f>+C7-C9-C8</f>
        <v>14925.120689655172</v>
      </c>
      <c r="D12" s="54">
        <v>1</v>
      </c>
      <c r="E12" s="1"/>
      <c r="F12" s="36" t="s">
        <v>27</v>
      </c>
      <c r="G12" s="37">
        <v>38</v>
      </c>
      <c r="H12" s="44">
        <v>1076.6400000000001</v>
      </c>
      <c r="I12" s="39">
        <f t="shared" si="0"/>
        <v>28.332631578947371</v>
      </c>
      <c r="J12" s="40">
        <f t="shared" si="1"/>
        <v>7.2136100095072306E-2</v>
      </c>
      <c r="K12" s="41"/>
      <c r="L12" s="42"/>
    </row>
    <row r="13" spans="1:12" ht="15.75">
      <c r="A13" s="32" t="s">
        <v>28</v>
      </c>
      <c r="B13" s="33"/>
      <c r="C13" s="55">
        <f>+H19+H21</f>
        <v>0</v>
      </c>
      <c r="D13" s="56">
        <f>+C13/C$12</f>
        <v>0</v>
      </c>
      <c r="E13" s="1"/>
      <c r="F13" s="36" t="s">
        <v>29</v>
      </c>
      <c r="G13" s="37">
        <v>0</v>
      </c>
      <c r="H13" s="44">
        <v>0</v>
      </c>
      <c r="I13" s="39">
        <f t="shared" si="0"/>
        <v>0</v>
      </c>
      <c r="J13" s="40">
        <f t="shared" si="1"/>
        <v>0</v>
      </c>
      <c r="K13" s="41"/>
      <c r="L13" s="42"/>
    </row>
    <row r="14" spans="1:12" ht="15.75">
      <c r="A14" s="32" t="s">
        <v>30</v>
      </c>
      <c r="B14" s="33"/>
      <c r="C14" s="57">
        <f>+C12-C13-C15</f>
        <v>12094.070689655171</v>
      </c>
      <c r="D14" s="56">
        <f>+C14/C$12</f>
        <v>0.81031644173154027</v>
      </c>
      <c r="E14" s="1"/>
      <c r="F14" s="36" t="s">
        <v>31</v>
      </c>
      <c r="G14" s="37">
        <v>0</v>
      </c>
      <c r="H14" s="44">
        <v>0</v>
      </c>
      <c r="I14" s="39">
        <f t="shared" si="0"/>
        <v>0</v>
      </c>
      <c r="J14" s="40">
        <f t="shared" si="1"/>
        <v>0</v>
      </c>
      <c r="K14" s="41"/>
      <c r="L14" s="42"/>
    </row>
    <row r="15" spans="1:12" ht="15.75">
      <c r="A15" s="32" t="s">
        <v>32</v>
      </c>
      <c r="B15" s="33"/>
      <c r="C15" s="55">
        <f>+H16</f>
        <v>2831.05</v>
      </c>
      <c r="D15" s="56">
        <f>+C15/C$12</f>
        <v>0.1896835582684597</v>
      </c>
      <c r="E15" s="1"/>
      <c r="F15" s="36" t="s">
        <v>33</v>
      </c>
      <c r="G15" s="37">
        <v>0</v>
      </c>
      <c r="H15" s="44">
        <v>0</v>
      </c>
      <c r="I15" s="39">
        <f t="shared" si="0"/>
        <v>0</v>
      </c>
      <c r="J15" s="40">
        <f t="shared" si="1"/>
        <v>0</v>
      </c>
      <c r="K15" s="41"/>
      <c r="L15" s="42"/>
    </row>
    <row r="16" spans="1:12" ht="15.75">
      <c r="A16" s="47" t="s">
        <v>34</v>
      </c>
      <c r="B16" s="48"/>
      <c r="C16" s="58"/>
      <c r="D16" s="59">
        <f>+C16/C$12</f>
        <v>0</v>
      </c>
      <c r="E16" s="1"/>
      <c r="F16" s="36" t="s">
        <v>35</v>
      </c>
      <c r="G16" s="37">
        <v>25</v>
      </c>
      <c r="H16" s="44">
        <v>2831.05</v>
      </c>
      <c r="I16" s="39">
        <f t="shared" si="0"/>
        <v>113.242</v>
      </c>
      <c r="J16" s="40">
        <f t="shared" si="1"/>
        <v>0.1896835582684597</v>
      </c>
      <c r="K16" s="41"/>
      <c r="L16" s="42"/>
    </row>
    <row r="17" spans="1:12" ht="15.75">
      <c r="A17" s="60" t="s">
        <v>36</v>
      </c>
      <c r="B17" s="61"/>
      <c r="C17" s="62">
        <v>11331</v>
      </c>
      <c r="D17" s="63">
        <f>((C$12-C17)/C17)</f>
        <v>0.31719360071089686</v>
      </c>
      <c r="E17" s="1"/>
      <c r="F17" s="36" t="s">
        <v>37</v>
      </c>
      <c r="G17" s="37">
        <v>37</v>
      </c>
      <c r="H17" s="44">
        <v>468.19</v>
      </c>
      <c r="I17" s="39">
        <f t="shared" si="0"/>
        <v>12.653783783783783</v>
      </c>
      <c r="J17" s="40">
        <f t="shared" si="1"/>
        <v>3.1369260573183143E-2</v>
      </c>
      <c r="K17" s="41"/>
      <c r="L17" s="42"/>
    </row>
    <row r="18" spans="1:12" ht="15.75">
      <c r="A18" s="47" t="s">
        <v>38</v>
      </c>
      <c r="B18" s="64"/>
      <c r="C18" s="65">
        <v>13665</v>
      </c>
      <c r="D18" s="59">
        <f>((C$12-C18)/C18)</f>
        <v>9.2215198657531805E-2</v>
      </c>
      <c r="E18" s="1"/>
      <c r="F18" s="36" t="s">
        <v>39</v>
      </c>
      <c r="G18" s="37">
        <v>0</v>
      </c>
      <c r="H18" s="38">
        <v>0</v>
      </c>
      <c r="I18" s="39">
        <f t="shared" si="0"/>
        <v>0</v>
      </c>
      <c r="J18" s="40">
        <f t="shared" si="1"/>
        <v>0</v>
      </c>
      <c r="K18" s="41"/>
      <c r="L18" s="42"/>
    </row>
    <row r="19" spans="1:12" ht="15.75">
      <c r="A19" s="25" t="s">
        <v>40</v>
      </c>
      <c r="B19" s="26"/>
      <c r="C19" s="66">
        <v>282</v>
      </c>
      <c r="D19" s="28"/>
      <c r="E19" s="1"/>
      <c r="F19" s="36" t="s">
        <v>41</v>
      </c>
      <c r="G19" s="37">
        <v>0</v>
      </c>
      <c r="H19" s="44">
        <v>0</v>
      </c>
      <c r="I19" s="39">
        <f t="shared" si="0"/>
        <v>0</v>
      </c>
      <c r="J19" s="40">
        <f t="shared" si="1"/>
        <v>0</v>
      </c>
      <c r="K19" s="41"/>
      <c r="L19" s="42"/>
    </row>
    <row r="20" spans="1:12" ht="15.75">
      <c r="A20" s="32" t="s">
        <v>42</v>
      </c>
      <c r="B20" s="33"/>
      <c r="C20" s="67">
        <v>182</v>
      </c>
      <c r="D20" s="68">
        <f>((C$19-C20)/C20)</f>
        <v>0.5494505494505495</v>
      </c>
      <c r="E20" s="1"/>
      <c r="F20" s="36" t="s">
        <v>43</v>
      </c>
      <c r="G20" s="37">
        <v>0</v>
      </c>
      <c r="H20" s="44">
        <v>0</v>
      </c>
      <c r="I20" s="39">
        <f t="shared" si="0"/>
        <v>0</v>
      </c>
      <c r="J20" s="40">
        <f t="shared" si="1"/>
        <v>0</v>
      </c>
      <c r="K20" s="41"/>
      <c r="L20" s="42"/>
    </row>
    <row r="21" spans="1:12" ht="15.75">
      <c r="A21" s="32" t="s">
        <v>44</v>
      </c>
      <c r="B21" s="33"/>
      <c r="C21" s="67">
        <v>236</v>
      </c>
      <c r="D21" s="68">
        <f>((C$19-C21)/C21)</f>
        <v>0.19491525423728814</v>
      </c>
      <c r="E21" s="1"/>
      <c r="F21" s="36" t="s">
        <v>45</v>
      </c>
      <c r="G21" s="37">
        <v>0</v>
      </c>
      <c r="H21" s="44">
        <v>0</v>
      </c>
      <c r="I21" s="39">
        <f t="shared" si="0"/>
        <v>0</v>
      </c>
      <c r="J21" s="40">
        <f t="shared" si="1"/>
        <v>0</v>
      </c>
      <c r="K21" s="41"/>
      <c r="L21" s="42"/>
    </row>
    <row r="22" spans="1:12" ht="15.75">
      <c r="A22" s="51" t="s">
        <v>46</v>
      </c>
      <c r="B22" s="52"/>
      <c r="C22" s="53">
        <f>+C12/C19</f>
        <v>52.925959892394225</v>
      </c>
      <c r="D22" s="68"/>
      <c r="E22" s="1"/>
      <c r="F22" s="36" t="s">
        <v>47</v>
      </c>
      <c r="G22" s="37">
        <v>0</v>
      </c>
      <c r="H22" s="44">
        <v>0</v>
      </c>
      <c r="I22" s="39">
        <f t="shared" si="0"/>
        <v>0</v>
      </c>
      <c r="J22" s="40">
        <f t="shared" si="1"/>
        <v>0</v>
      </c>
      <c r="K22" s="41"/>
      <c r="L22" s="42"/>
    </row>
    <row r="23" spans="1:12" ht="15.75">
      <c r="A23" s="32" t="s">
        <v>48</v>
      </c>
      <c r="B23" s="69"/>
      <c r="C23" s="70">
        <v>62</v>
      </c>
      <c r="D23" s="68">
        <f>((C$22-C23)/C23)</f>
        <v>-0.14635548560654477</v>
      </c>
      <c r="E23" s="1"/>
      <c r="F23" s="36" t="s">
        <v>49</v>
      </c>
      <c r="G23" s="37">
        <v>0</v>
      </c>
      <c r="H23" s="44">
        <v>0</v>
      </c>
      <c r="I23" s="39">
        <f t="shared" si="0"/>
        <v>0</v>
      </c>
      <c r="J23" s="40">
        <f t="shared" si="1"/>
        <v>0</v>
      </c>
      <c r="K23" s="41"/>
      <c r="L23" s="42"/>
    </row>
    <row r="24" spans="1:12" ht="15.75">
      <c r="A24" s="71"/>
      <c r="B24" s="72"/>
      <c r="C24" s="73">
        <f>C22-C23</f>
        <v>-9.0740401076057751</v>
      </c>
      <c r="D24" s="68"/>
      <c r="E24" s="1"/>
      <c r="F24" s="36" t="s">
        <v>50</v>
      </c>
      <c r="G24" s="37">
        <v>28</v>
      </c>
      <c r="H24" s="44">
        <v>178.52</v>
      </c>
      <c r="I24" s="39">
        <f t="shared" si="0"/>
        <v>6.3757142857142863</v>
      </c>
      <c r="J24" s="40">
        <f>+H24/$C$12</f>
        <v>1.1961042306594876E-2</v>
      </c>
      <c r="K24" s="41"/>
      <c r="L24" s="42"/>
    </row>
    <row r="25" spans="1:12" ht="15.75">
      <c r="A25" s="74" t="s">
        <v>51</v>
      </c>
      <c r="B25" s="75"/>
      <c r="C25" s="76">
        <f>+H32</f>
        <v>60</v>
      </c>
      <c r="D25" s="77">
        <f>((C$22-C25)/C25)</f>
        <v>-0.11790066846009625</v>
      </c>
      <c r="E25" s="1" t="s">
        <v>52</v>
      </c>
      <c r="F25" s="36" t="s">
        <v>53</v>
      </c>
      <c r="G25" s="78">
        <v>27</v>
      </c>
      <c r="H25" s="44">
        <v>8.6199999999999992</v>
      </c>
      <c r="I25" s="39">
        <f t="shared" si="0"/>
        <v>0.31925925925925924</v>
      </c>
      <c r="J25" s="40">
        <f t="shared" si="1"/>
        <v>5.7754976855729225E-4</v>
      </c>
      <c r="K25" s="41"/>
      <c r="L25" s="42"/>
    </row>
    <row r="26" spans="1:12" ht="16.5" thickBot="1">
      <c r="A26" s="79" t="s">
        <v>54</v>
      </c>
      <c r="B26" s="80"/>
      <c r="C26" s="80"/>
      <c r="D26" s="81"/>
      <c r="E26" s="1"/>
      <c r="F26" s="82" t="s">
        <v>55</v>
      </c>
      <c r="G26" s="83">
        <v>98</v>
      </c>
      <c r="H26" s="84">
        <v>2069.7600000000002</v>
      </c>
      <c r="I26" s="85">
        <f>IF(G26&gt;0,(H26/G26),0)</f>
        <v>21.12</v>
      </c>
      <c r="J26" s="86">
        <f>+H26/$C$12</f>
        <v>0.13867626554166373</v>
      </c>
      <c r="K26" s="87"/>
      <c r="L26" s="42"/>
    </row>
    <row r="27" spans="1:12" ht="15.75" thickBot="1">
      <c r="A27" s="88" t="s">
        <v>56</v>
      </c>
      <c r="B27" s="89"/>
      <c r="C27" s="90"/>
      <c r="D27" s="91"/>
      <c r="E27" s="1"/>
      <c r="F27" s="92" t="s">
        <v>57</v>
      </c>
      <c r="G27" s="93">
        <f>SUM(G8:G26)</f>
        <v>686</v>
      </c>
      <c r="H27" s="94">
        <f>SUM(H8:H26)</f>
        <v>16994.75</v>
      </c>
      <c r="I27" s="95">
        <f>+H27/G27</f>
        <v>24.77368804664723</v>
      </c>
      <c r="J27" s="96">
        <f>SUM(J8:J26)</f>
        <v>1.138667509186664</v>
      </c>
      <c r="K27" s="97"/>
      <c r="L27" s="3"/>
    </row>
    <row r="28" spans="1:12" ht="15.75" thickBot="1">
      <c r="A28" s="98" t="s">
        <v>58</v>
      </c>
      <c r="B28" s="99"/>
      <c r="C28" s="90">
        <v>4020.43</v>
      </c>
      <c r="D28" s="100"/>
      <c r="E28" s="1"/>
      <c r="F28" s="22" t="s">
        <v>59</v>
      </c>
      <c r="G28" s="23"/>
      <c r="H28" s="23"/>
      <c r="I28" s="23"/>
      <c r="J28" s="23"/>
      <c r="K28" s="24"/>
      <c r="L28" s="3"/>
    </row>
    <row r="29" spans="1:12">
      <c r="A29" s="98" t="s">
        <v>60</v>
      </c>
      <c r="B29" s="99"/>
      <c r="C29" s="101"/>
      <c r="D29" s="102"/>
      <c r="E29" s="1"/>
      <c r="F29" s="29"/>
      <c r="G29" s="30" t="s">
        <v>61</v>
      </c>
      <c r="H29" s="30" t="s">
        <v>62</v>
      </c>
      <c r="I29" s="30"/>
      <c r="J29" s="30" t="s">
        <v>63</v>
      </c>
      <c r="K29" s="30" t="s">
        <v>64</v>
      </c>
      <c r="L29" s="3"/>
    </row>
    <row r="30" spans="1:12" ht="15.75">
      <c r="A30" s="98" t="s">
        <v>60</v>
      </c>
      <c r="B30" s="99"/>
      <c r="C30" s="101"/>
      <c r="D30" s="102"/>
      <c r="E30" s="1"/>
      <c r="F30" s="103" t="s">
        <v>65</v>
      </c>
      <c r="G30" s="104">
        <f>+C12</f>
        <v>14925.120689655172</v>
      </c>
      <c r="H30" s="105">
        <v>100789.95</v>
      </c>
      <c r="I30" s="106" t="s">
        <v>66</v>
      </c>
      <c r="J30" s="107">
        <f t="shared" ref="J30:J37" si="2">((G30-H30)/H30)</f>
        <v>-0.8519185624196145</v>
      </c>
      <c r="K30" s="108">
        <f t="shared" ref="K30:K37" si="3">+G30-H30</f>
        <v>-85864.829310344823</v>
      </c>
      <c r="L30" s="3"/>
    </row>
    <row r="31" spans="1:12" ht="15.75">
      <c r="A31" s="98" t="s">
        <v>60</v>
      </c>
      <c r="B31" s="99"/>
      <c r="C31" s="101"/>
      <c r="D31" s="102"/>
      <c r="E31" s="1"/>
      <c r="F31" s="103" t="s">
        <v>67</v>
      </c>
      <c r="G31" s="109">
        <f>+C19</f>
        <v>282</v>
      </c>
      <c r="H31" s="110">
        <f>+(C21*5%)+C21</f>
        <v>247.8</v>
      </c>
      <c r="I31" s="111" t="s">
        <v>68</v>
      </c>
      <c r="J31" s="107">
        <f t="shared" si="2"/>
        <v>0.13801452784503626</v>
      </c>
      <c r="K31" s="112">
        <f t="shared" si="3"/>
        <v>34.199999999999989</v>
      </c>
      <c r="L31" s="3"/>
    </row>
    <row r="32" spans="1:12" ht="15.75">
      <c r="A32" s="98" t="s">
        <v>60</v>
      </c>
      <c r="B32" s="99"/>
      <c r="C32" s="101"/>
      <c r="D32" s="102"/>
      <c r="E32" s="1"/>
      <c r="F32" s="103" t="s">
        <v>46</v>
      </c>
      <c r="G32" s="104">
        <f>+C22</f>
        <v>52.925959892394225</v>
      </c>
      <c r="H32" s="104">
        <v>60</v>
      </c>
      <c r="I32" s="113" t="s">
        <v>66</v>
      </c>
      <c r="J32" s="107">
        <f t="shared" si="2"/>
        <v>-0.11790066846009625</v>
      </c>
      <c r="K32" s="108">
        <f t="shared" si="3"/>
        <v>-7.0740401076057751</v>
      </c>
      <c r="L32" s="3"/>
    </row>
    <row r="33" spans="1:12" ht="15.75">
      <c r="A33" s="71" t="s">
        <v>69</v>
      </c>
      <c r="B33" s="99"/>
      <c r="C33" s="101"/>
      <c r="D33" s="102"/>
      <c r="E33" s="1"/>
      <c r="F33" s="103" t="s">
        <v>70</v>
      </c>
      <c r="G33" s="104">
        <f>+H16</f>
        <v>2831.05</v>
      </c>
      <c r="H33" s="104">
        <f>+G30*10%</f>
        <v>1492.5120689655173</v>
      </c>
      <c r="I33" s="114" t="s">
        <v>71</v>
      </c>
      <c r="J33" s="107">
        <f t="shared" si="2"/>
        <v>0.89683558268459684</v>
      </c>
      <c r="K33" s="108">
        <f t="shared" si="3"/>
        <v>1338.5379310344829</v>
      </c>
      <c r="L33" s="3"/>
    </row>
    <row r="34" spans="1:12" ht="15.75">
      <c r="A34" s="71" t="s">
        <v>72</v>
      </c>
      <c r="B34" s="99"/>
      <c r="C34" s="101"/>
      <c r="D34" s="102"/>
      <c r="E34" s="1"/>
      <c r="F34" s="103" t="s">
        <v>73</v>
      </c>
      <c r="G34" s="104">
        <f>+H24</f>
        <v>178.52</v>
      </c>
      <c r="H34" s="104">
        <f>+G30*2%</f>
        <v>298.50241379310347</v>
      </c>
      <c r="I34" s="114" t="s">
        <v>74</v>
      </c>
      <c r="J34" s="107">
        <f t="shared" si="2"/>
        <v>-0.40194788467025627</v>
      </c>
      <c r="K34" s="108">
        <f t="shared" si="3"/>
        <v>-119.98241379310346</v>
      </c>
      <c r="L34" s="3"/>
    </row>
    <row r="35" spans="1:12" ht="15.75">
      <c r="A35" s="71" t="s">
        <v>72</v>
      </c>
      <c r="B35" s="115"/>
      <c r="C35" s="101"/>
      <c r="D35" s="102"/>
      <c r="E35" s="1"/>
      <c r="F35" s="103" t="s">
        <v>75</v>
      </c>
      <c r="G35" s="104">
        <f>+C52</f>
        <v>95.53</v>
      </c>
      <c r="H35" s="104">
        <f>+G30*0.2%</f>
        <v>29.850241379310344</v>
      </c>
      <c r="I35" s="116" t="s">
        <v>76</v>
      </c>
      <c r="J35" s="107">
        <f t="shared" si="2"/>
        <v>2.2003091293664814</v>
      </c>
      <c r="K35" s="108">
        <f t="shared" si="3"/>
        <v>65.679758620689654</v>
      </c>
      <c r="L35" s="3"/>
    </row>
    <row r="36" spans="1:12" ht="15.75">
      <c r="A36" s="71" t="s">
        <v>72</v>
      </c>
      <c r="B36" s="115"/>
      <c r="C36" s="101"/>
      <c r="D36" s="102"/>
      <c r="E36" s="1"/>
      <c r="F36" s="103" t="s">
        <v>77</v>
      </c>
      <c r="G36" s="104">
        <f>+C53</f>
        <v>0</v>
      </c>
      <c r="H36" s="104">
        <f>+G30*0.5%</f>
        <v>74.625603448275868</v>
      </c>
      <c r="I36" s="116" t="s">
        <v>78</v>
      </c>
      <c r="J36" s="107">
        <f t="shared" si="2"/>
        <v>-1</v>
      </c>
      <c r="K36" s="108">
        <f t="shared" si="3"/>
        <v>-74.625603448275868</v>
      </c>
      <c r="L36" s="3"/>
    </row>
    <row r="37" spans="1:12" ht="16.5" thickBot="1">
      <c r="A37" s="71" t="s">
        <v>72</v>
      </c>
      <c r="B37" s="99"/>
      <c r="C37" s="101"/>
      <c r="D37" s="102"/>
      <c r="E37" s="1"/>
      <c r="F37" s="103" t="s">
        <v>79</v>
      </c>
      <c r="G37" s="104">
        <f>+C45</f>
        <v>4020.43</v>
      </c>
      <c r="H37" s="104">
        <f>+C12*34%</f>
        <v>5074.5410344827587</v>
      </c>
      <c r="I37" s="117" t="s">
        <v>80</v>
      </c>
      <c r="J37" s="107">
        <f t="shared" si="2"/>
        <v>-0.20772539374887586</v>
      </c>
      <c r="K37" s="108">
        <f t="shared" si="3"/>
        <v>-1054.1110344827589</v>
      </c>
      <c r="L37" s="3"/>
    </row>
    <row r="38" spans="1:12" ht="15.75" thickBot="1">
      <c r="A38" s="71" t="s">
        <v>72</v>
      </c>
      <c r="B38" s="99"/>
      <c r="C38" s="101"/>
      <c r="D38" s="102"/>
      <c r="E38" s="1"/>
      <c r="F38" s="118"/>
      <c r="G38" s="119"/>
      <c r="H38" s="119"/>
      <c r="I38" s="119"/>
      <c r="J38" s="119"/>
      <c r="K38" s="120"/>
      <c r="L38" s="3"/>
    </row>
    <row r="39" spans="1:12" ht="15.75" thickBot="1">
      <c r="A39" s="121" t="s">
        <v>81</v>
      </c>
      <c r="B39" s="122"/>
      <c r="C39" s="101"/>
      <c r="D39" s="123"/>
      <c r="E39" s="1"/>
      <c r="F39" s="124" t="s">
        <v>82</v>
      </c>
      <c r="G39" s="125"/>
      <c r="H39" s="125"/>
      <c r="I39" s="125"/>
      <c r="J39" s="125"/>
      <c r="K39" s="126"/>
      <c r="L39" s="3"/>
    </row>
    <row r="40" spans="1:12">
      <c r="A40" s="121" t="s">
        <v>81</v>
      </c>
      <c r="B40" s="122"/>
      <c r="C40" s="101"/>
      <c r="D40" s="123"/>
      <c r="E40" s="1"/>
      <c r="F40" s="127" t="s">
        <v>83</v>
      </c>
      <c r="G40" s="127" t="s">
        <v>84</v>
      </c>
      <c r="H40" s="127" t="s">
        <v>85</v>
      </c>
      <c r="I40" s="127" t="s">
        <v>86</v>
      </c>
      <c r="J40" s="128" t="s">
        <v>87</v>
      </c>
      <c r="K40" s="127" t="s">
        <v>88</v>
      </c>
      <c r="L40" s="3"/>
    </row>
    <row r="41" spans="1:12">
      <c r="A41" s="121" t="s">
        <v>81</v>
      </c>
      <c r="B41" s="122"/>
      <c r="C41" s="101"/>
      <c r="D41" s="123"/>
      <c r="E41" s="1"/>
      <c r="F41" s="129" t="s">
        <v>89</v>
      </c>
      <c r="G41" s="130"/>
      <c r="H41" s="131"/>
      <c r="I41" s="131"/>
      <c r="J41" s="131"/>
      <c r="K41" s="130"/>
      <c r="L41" s="3"/>
    </row>
    <row r="42" spans="1:12">
      <c r="A42" s="121" t="s">
        <v>81</v>
      </c>
      <c r="B42" s="122"/>
      <c r="C42" s="101"/>
      <c r="D42" s="132"/>
      <c r="E42" s="1"/>
      <c r="F42" s="129" t="s">
        <v>90</v>
      </c>
      <c r="G42" s="131"/>
      <c r="H42" s="131"/>
      <c r="I42" s="131"/>
      <c r="J42" s="131"/>
      <c r="K42" s="131"/>
      <c r="L42" s="3"/>
    </row>
    <row r="43" spans="1:12" ht="15.75" thickBot="1">
      <c r="A43" s="60" t="s">
        <v>91</v>
      </c>
      <c r="B43" s="133"/>
      <c r="C43" s="134">
        <f>SUM(C28:C42)</f>
        <v>4020.43</v>
      </c>
      <c r="D43" s="63"/>
      <c r="E43" s="1"/>
      <c r="F43" s="129" t="s">
        <v>92</v>
      </c>
      <c r="G43" s="130"/>
      <c r="H43" s="131"/>
      <c r="I43" s="131"/>
      <c r="J43" s="131"/>
      <c r="K43" s="130"/>
      <c r="L43" s="3"/>
    </row>
    <row r="44" spans="1:12" ht="15.75" thickBot="1">
      <c r="A44" s="88" t="s">
        <v>93</v>
      </c>
      <c r="B44" s="89"/>
      <c r="C44" s="90"/>
      <c r="D44" s="56"/>
      <c r="E44" s="1"/>
      <c r="F44" s="129" t="s">
        <v>94</v>
      </c>
      <c r="G44" s="135">
        <f>G41+G42-G43</f>
        <v>0</v>
      </c>
      <c r="H44" s="135">
        <f>H41+H42-H43</f>
        <v>0</v>
      </c>
      <c r="I44" s="135">
        <f>I41+I42-I43</f>
        <v>0</v>
      </c>
      <c r="J44" s="135">
        <f>J41+J42-J43</f>
        <v>0</v>
      </c>
      <c r="K44" s="135">
        <f>K41+K42-K43</f>
        <v>0</v>
      </c>
      <c r="L44" s="3"/>
    </row>
    <row r="45" spans="1:12" ht="15.75" thickBot="1">
      <c r="A45" s="136" t="s">
        <v>95</v>
      </c>
      <c r="B45" s="137"/>
      <c r="C45" s="138">
        <f>+(C27+C43)-C44</f>
        <v>4020.43</v>
      </c>
      <c r="D45" s="139">
        <f>+C45/C$12</f>
        <v>0.26937336612538221</v>
      </c>
      <c r="E45" s="1"/>
      <c r="F45" s="129" t="s">
        <v>96</v>
      </c>
      <c r="G45" s="140"/>
      <c r="H45" s="140"/>
      <c r="I45" s="140"/>
      <c r="J45" s="140"/>
      <c r="K45" s="140"/>
      <c r="L45" s="3"/>
    </row>
    <row r="46" spans="1:12" ht="15.75" thickBot="1">
      <c r="A46" s="136"/>
      <c r="B46" s="137"/>
      <c r="C46" s="141"/>
      <c r="D46" s="142"/>
      <c r="E46" s="1"/>
      <c r="F46" s="143" t="s">
        <v>97</v>
      </c>
      <c r="G46" s="144">
        <f>G45+G48-G44-G49</f>
        <v>0</v>
      </c>
      <c r="H46" s="144">
        <f>H45+H48-H44-H49</f>
        <v>0</v>
      </c>
      <c r="I46" s="144">
        <f>I45+I48-I44-I49</f>
        <v>0</v>
      </c>
      <c r="J46" s="144">
        <f>J45+J48-J44-J49</f>
        <v>0</v>
      </c>
      <c r="K46" s="144">
        <f>K45+K48-K44-K49</f>
        <v>0</v>
      </c>
      <c r="L46" s="3"/>
    </row>
    <row r="47" spans="1:12">
      <c r="A47" s="32" t="s">
        <v>98</v>
      </c>
      <c r="B47" s="33"/>
      <c r="C47" s="145">
        <f>+C75+C76+C77+C78+C79+C80+C81</f>
        <v>5831.3600000000006</v>
      </c>
      <c r="D47" s="146">
        <f>+C47/C$12</f>
        <v>0.39070772834968126</v>
      </c>
      <c r="E47" s="1"/>
      <c r="F47" s="129" t="s">
        <v>99</v>
      </c>
      <c r="G47" s="147">
        <f>+G46*I10</f>
        <v>0</v>
      </c>
      <c r="H47" s="147">
        <f>+H46*$I$8</f>
        <v>0</v>
      </c>
      <c r="I47" s="147">
        <f>+I46*$I$8</f>
        <v>0</v>
      </c>
      <c r="J47" s="147">
        <f>+J46*$I$8</f>
        <v>0</v>
      </c>
      <c r="K47" s="147">
        <f>+K46*I16</f>
        <v>0</v>
      </c>
      <c r="L47" s="3"/>
    </row>
    <row r="48" spans="1:12">
      <c r="A48" s="47" t="s">
        <v>100</v>
      </c>
      <c r="B48" s="48"/>
      <c r="C48" s="148">
        <f>C45-C47</f>
        <v>-1810.9300000000007</v>
      </c>
      <c r="D48" s="59">
        <f>D45-D47</f>
        <v>-0.12133436222429905</v>
      </c>
      <c r="E48" s="1"/>
      <c r="F48" s="149" t="s">
        <v>75</v>
      </c>
      <c r="G48" s="150"/>
      <c r="H48" s="150"/>
      <c r="I48" s="150"/>
      <c r="J48" s="150"/>
      <c r="K48" s="150"/>
      <c r="L48" s="3"/>
    </row>
    <row r="49" spans="1:12">
      <c r="A49" s="151"/>
      <c r="B49" s="151"/>
      <c r="C49" s="152"/>
      <c r="D49" s="153"/>
      <c r="E49" s="1"/>
      <c r="F49" s="149" t="s">
        <v>101</v>
      </c>
      <c r="G49" s="154"/>
      <c r="H49" s="154"/>
      <c r="I49" s="154"/>
      <c r="J49" s="154"/>
      <c r="K49" s="154"/>
      <c r="L49" s="3"/>
    </row>
    <row r="50" spans="1:12">
      <c r="A50" s="19" t="s">
        <v>102</v>
      </c>
      <c r="B50" s="155"/>
      <c r="C50" s="155"/>
      <c r="D50" s="20"/>
      <c r="E50" s="1"/>
      <c r="F50" s="19" t="s">
        <v>82</v>
      </c>
      <c r="G50" s="155"/>
      <c r="H50" s="155"/>
      <c r="I50" s="155"/>
      <c r="J50" s="155"/>
      <c r="K50" s="155"/>
      <c r="L50" s="3"/>
    </row>
    <row r="51" spans="1:12">
      <c r="A51" s="32" t="s">
        <v>103</v>
      </c>
      <c r="B51" s="69"/>
      <c r="C51" s="156">
        <f>(C45-C52-C53)</f>
        <v>3924.8999999999996</v>
      </c>
      <c r="D51" s="56">
        <f>+C51/C$12</f>
        <v>0.26297274786664926</v>
      </c>
      <c r="E51" s="1"/>
      <c r="F51" s="149" t="s">
        <v>83</v>
      </c>
      <c r="G51" s="149" t="s">
        <v>104</v>
      </c>
      <c r="H51" s="149" t="s">
        <v>105</v>
      </c>
      <c r="I51" s="149" t="s">
        <v>106</v>
      </c>
      <c r="J51" s="149" t="s">
        <v>107</v>
      </c>
      <c r="K51" s="149" t="s">
        <v>108</v>
      </c>
      <c r="L51" s="3"/>
    </row>
    <row r="52" spans="1:12">
      <c r="A52" s="32" t="s">
        <v>109</v>
      </c>
      <c r="B52" s="69"/>
      <c r="C52" s="157">
        <v>95.53</v>
      </c>
      <c r="D52" s="56">
        <f>+C52/C$12</f>
        <v>6.4006182587329624E-3</v>
      </c>
      <c r="E52" s="1"/>
      <c r="F52" s="129" t="s">
        <v>89</v>
      </c>
      <c r="G52" s="131"/>
      <c r="H52" s="131"/>
      <c r="I52" s="131"/>
      <c r="J52" s="131"/>
      <c r="K52" s="130"/>
      <c r="L52" s="3"/>
    </row>
    <row r="53" spans="1:12">
      <c r="A53" s="32" t="s">
        <v>77</v>
      </c>
      <c r="B53" s="69"/>
      <c r="C53" s="157"/>
      <c r="D53" s="56">
        <f>+C53/C$12</f>
        <v>0</v>
      </c>
      <c r="E53" s="1"/>
      <c r="F53" s="129" t="s">
        <v>90</v>
      </c>
      <c r="G53" s="131"/>
      <c r="H53" s="131"/>
      <c r="I53" s="131"/>
      <c r="J53" s="131"/>
      <c r="K53" s="131"/>
      <c r="L53" s="3"/>
    </row>
    <row r="54" spans="1:12" ht="15.75" thickBot="1">
      <c r="A54" s="158" t="s">
        <v>54</v>
      </c>
      <c r="B54" s="159"/>
      <c r="C54" s="160">
        <f>+C51+C52+C53</f>
        <v>4020.43</v>
      </c>
      <c r="D54" s="161">
        <f>+C54/C$12</f>
        <v>0.26937336612538221</v>
      </c>
      <c r="E54" s="1"/>
      <c r="F54" s="129" t="s">
        <v>92</v>
      </c>
      <c r="G54" s="131"/>
      <c r="H54" s="131"/>
      <c r="I54" s="131"/>
      <c r="J54" s="131"/>
      <c r="K54" s="130"/>
      <c r="L54" s="3"/>
    </row>
    <row r="55" spans="1:12" ht="16.5" thickBot="1">
      <c r="A55" s="32" t="s">
        <v>110</v>
      </c>
      <c r="B55" s="69"/>
      <c r="C55" s="162"/>
      <c r="D55" s="56">
        <f>+C55/C12</f>
        <v>0</v>
      </c>
      <c r="E55" s="1"/>
      <c r="F55" s="129" t="s">
        <v>94</v>
      </c>
      <c r="G55" s="135">
        <f>G52+G53-G54</f>
        <v>0</v>
      </c>
      <c r="H55" s="135">
        <f>H52+H53-H54</f>
        <v>0</v>
      </c>
      <c r="I55" s="135">
        <f>I52+I53-I54</f>
        <v>0</v>
      </c>
      <c r="J55" s="135">
        <f>J52+J53-J54</f>
        <v>0</v>
      </c>
      <c r="K55" s="135">
        <f>K52+K53-K54</f>
        <v>0</v>
      </c>
      <c r="L55" s="3"/>
    </row>
    <row r="56" spans="1:12" ht="15.75" thickBot="1">
      <c r="A56" s="163" t="s">
        <v>111</v>
      </c>
      <c r="B56" s="164"/>
      <c r="C56" s="165">
        <f>+C12-((C12*6.85%)+C54+C55)</f>
        <v>9882.3199224137934</v>
      </c>
      <c r="D56" s="50">
        <f>+C56/C12</f>
        <v>0.66212663387461779</v>
      </c>
      <c r="E56" s="1"/>
      <c r="F56" s="129" t="s">
        <v>96</v>
      </c>
      <c r="G56" s="140"/>
      <c r="H56" s="140"/>
      <c r="I56" s="140"/>
      <c r="J56" s="140"/>
      <c r="K56" s="140"/>
      <c r="L56" s="3"/>
    </row>
    <row r="57" spans="1:12" ht="15.75" thickBot="1">
      <c r="A57" s="19" t="s">
        <v>112</v>
      </c>
      <c r="B57" s="155"/>
      <c r="C57" s="155"/>
      <c r="D57" s="166"/>
      <c r="E57" s="1"/>
      <c r="F57" s="143" t="s">
        <v>97</v>
      </c>
      <c r="G57" s="144">
        <f>G56+G59-G55-G60</f>
        <v>0</v>
      </c>
      <c r="H57" s="144">
        <f>H56+H59-H55-H60</f>
        <v>0</v>
      </c>
      <c r="I57" s="144">
        <f>I56+I59-I55-I60</f>
        <v>0</v>
      </c>
      <c r="J57" s="144">
        <f>J56+J59-J55-J60</f>
        <v>0</v>
      </c>
      <c r="K57" s="144">
        <f>K56+K59-K55-K60</f>
        <v>0</v>
      </c>
      <c r="L57" s="3"/>
    </row>
    <row r="58" spans="1:12">
      <c r="A58" s="167" t="s">
        <v>113</v>
      </c>
      <c r="B58" s="168"/>
      <c r="C58" s="169">
        <v>1327.94</v>
      </c>
      <c r="D58" s="170">
        <f>+C58/$C$12</f>
        <v>8.8973484879114939E-2</v>
      </c>
      <c r="E58" s="1"/>
      <c r="F58" s="129" t="s">
        <v>99</v>
      </c>
      <c r="G58" s="147">
        <f>+G57*I18</f>
        <v>0</v>
      </c>
      <c r="H58" s="147">
        <f>+H57*I13</f>
        <v>0</v>
      </c>
      <c r="I58" s="147">
        <f>+I57*I15</f>
        <v>0</v>
      </c>
      <c r="J58" s="147">
        <f>+J57*I11</f>
        <v>0</v>
      </c>
      <c r="K58" s="147">
        <f>+K57*I12</f>
        <v>0</v>
      </c>
      <c r="L58" s="3"/>
    </row>
    <row r="59" spans="1:12">
      <c r="A59" s="171" t="s">
        <v>114</v>
      </c>
      <c r="B59" s="172"/>
      <c r="C59" s="173">
        <v>1687.99</v>
      </c>
      <c r="D59" s="174">
        <f t="shared" ref="D59:D64" si="4">+C59/$C$12</f>
        <v>0.11309724290336703</v>
      </c>
      <c r="E59" s="1"/>
      <c r="F59" s="149" t="s">
        <v>75</v>
      </c>
      <c r="G59" s="150"/>
      <c r="H59" s="150"/>
      <c r="I59" s="150"/>
      <c r="J59" s="150"/>
      <c r="K59" s="150"/>
      <c r="L59" s="3"/>
    </row>
    <row r="60" spans="1:12">
      <c r="A60" s="171" t="s">
        <v>115</v>
      </c>
      <c r="B60" s="172"/>
      <c r="C60" s="173">
        <v>3662.21</v>
      </c>
      <c r="D60" s="174">
        <f t="shared" si="4"/>
        <v>0.24537222017496538</v>
      </c>
      <c r="E60" s="1"/>
      <c r="F60" s="149" t="s">
        <v>101</v>
      </c>
      <c r="G60" s="154"/>
      <c r="H60" s="154"/>
      <c r="I60" s="154"/>
      <c r="J60" s="154"/>
      <c r="K60" s="154"/>
      <c r="L60" s="3"/>
    </row>
    <row r="61" spans="1:12">
      <c r="A61" s="171" t="s">
        <v>116</v>
      </c>
      <c r="B61" s="172"/>
      <c r="C61" s="173">
        <v>2959.51</v>
      </c>
      <c r="D61" s="174">
        <f t="shared" si="4"/>
        <v>0.19829052384489471</v>
      </c>
      <c r="E61" s="1"/>
      <c r="F61" s="175" t="s">
        <v>117</v>
      </c>
      <c r="G61" s="176"/>
      <c r="H61" s="176"/>
      <c r="I61" s="176"/>
      <c r="J61" s="176"/>
      <c r="K61" s="176"/>
      <c r="L61" s="3"/>
    </row>
    <row r="62" spans="1:12">
      <c r="A62" s="171" t="s">
        <v>118</v>
      </c>
      <c r="B62" s="172"/>
      <c r="C62" s="173">
        <v>4408.13</v>
      </c>
      <c r="D62" s="174">
        <f t="shared" si="4"/>
        <v>0.29534970548381173</v>
      </c>
      <c r="E62" s="1"/>
      <c r="F62" s="177" t="s">
        <v>119</v>
      </c>
      <c r="G62" s="178"/>
      <c r="H62" s="178"/>
      <c r="I62" s="178"/>
      <c r="J62" s="178"/>
      <c r="K62" s="178"/>
      <c r="L62" s="3"/>
    </row>
    <row r="63" spans="1:12">
      <c r="A63" s="171" t="s">
        <v>120</v>
      </c>
      <c r="B63" s="172"/>
      <c r="C63" s="173">
        <v>879.3</v>
      </c>
      <c r="D63" s="174">
        <f t="shared" si="4"/>
        <v>5.8914096460838415E-2</v>
      </c>
      <c r="E63" s="1"/>
      <c r="F63" s="179" t="s">
        <v>121</v>
      </c>
      <c r="G63" s="180"/>
      <c r="H63" s="181">
        <f t="shared" ref="H63:H80" si="5">+G63/$C$19</f>
        <v>0</v>
      </c>
      <c r="I63" s="182"/>
      <c r="J63" s="180"/>
      <c r="K63" s="181">
        <f t="shared" ref="K63:K80" si="6">+J63/$C$19</f>
        <v>0</v>
      </c>
      <c r="L63" s="3"/>
    </row>
    <row r="64" spans="1:12">
      <c r="A64" s="183" t="s">
        <v>122</v>
      </c>
      <c r="B64" s="184"/>
      <c r="C64" s="185"/>
      <c r="D64" s="186">
        <f t="shared" si="4"/>
        <v>0</v>
      </c>
      <c r="E64" s="1"/>
      <c r="F64" s="179" t="s">
        <v>123</v>
      </c>
      <c r="G64" s="187"/>
      <c r="H64" s="181">
        <f t="shared" si="5"/>
        <v>0</v>
      </c>
      <c r="I64" s="179"/>
      <c r="J64" s="180"/>
      <c r="K64" s="181">
        <f t="shared" si="6"/>
        <v>0</v>
      </c>
      <c r="L64" s="3"/>
    </row>
    <row r="65" spans="1:12">
      <c r="A65" s="1"/>
      <c r="B65" s="188">
        <f>+C12</f>
        <v>14925.120689655172</v>
      </c>
      <c r="C65" s="189"/>
      <c r="D65" s="190">
        <f>SUM(D58:D64)</f>
        <v>0.9999972737469921</v>
      </c>
      <c r="E65" s="1"/>
      <c r="F65" s="179" t="s">
        <v>124</v>
      </c>
      <c r="G65" s="187"/>
      <c r="H65" s="181">
        <f t="shared" si="5"/>
        <v>0</v>
      </c>
      <c r="I65" s="179"/>
      <c r="J65" s="180"/>
      <c r="K65" s="181">
        <f t="shared" si="6"/>
        <v>0</v>
      </c>
      <c r="L65" s="3"/>
    </row>
    <row r="66" spans="1:12">
      <c r="A66" s="19" t="s">
        <v>125</v>
      </c>
      <c r="B66" s="155"/>
      <c r="C66" s="155"/>
      <c r="D66" s="166"/>
      <c r="E66" s="1"/>
      <c r="F66" s="179" t="s">
        <v>126</v>
      </c>
      <c r="G66" s="187"/>
      <c r="H66" s="181">
        <f t="shared" si="5"/>
        <v>0</v>
      </c>
      <c r="I66" s="179"/>
      <c r="J66" s="180"/>
      <c r="K66" s="181">
        <f t="shared" si="6"/>
        <v>0</v>
      </c>
      <c r="L66" s="3"/>
    </row>
    <row r="67" spans="1:12">
      <c r="A67" s="167" t="s">
        <v>113</v>
      </c>
      <c r="B67" s="168"/>
      <c r="C67" s="191">
        <v>25</v>
      </c>
      <c r="D67" s="170">
        <f>+C67/$C$19</f>
        <v>8.8652482269503549E-2</v>
      </c>
      <c r="E67" s="1"/>
      <c r="F67" s="179" t="s">
        <v>127</v>
      </c>
      <c r="G67" s="187"/>
      <c r="H67" s="181">
        <f t="shared" si="5"/>
        <v>0</v>
      </c>
      <c r="I67" s="179"/>
      <c r="J67" s="180"/>
      <c r="K67" s="181">
        <f t="shared" si="6"/>
        <v>0</v>
      </c>
      <c r="L67" s="3"/>
    </row>
    <row r="68" spans="1:12">
      <c r="A68" s="171" t="s">
        <v>114</v>
      </c>
      <c r="B68" s="172"/>
      <c r="C68" s="192">
        <v>36</v>
      </c>
      <c r="D68" s="174">
        <f t="shared" ref="D68:D73" si="7">+C68/$C$19</f>
        <v>0.1276595744680851</v>
      </c>
      <c r="E68" s="1"/>
      <c r="F68" s="179" t="s">
        <v>128</v>
      </c>
      <c r="G68" s="187"/>
      <c r="H68" s="181">
        <f t="shared" si="5"/>
        <v>0</v>
      </c>
      <c r="I68" s="179"/>
      <c r="J68" s="180"/>
      <c r="K68" s="181">
        <f t="shared" si="6"/>
        <v>0</v>
      </c>
      <c r="L68" s="3"/>
    </row>
    <row r="69" spans="1:12">
      <c r="A69" s="171" t="s">
        <v>115</v>
      </c>
      <c r="B69" s="172"/>
      <c r="C69" s="192">
        <v>66</v>
      </c>
      <c r="D69" s="174">
        <f t="shared" si="7"/>
        <v>0.23404255319148937</v>
      </c>
      <c r="E69" s="1"/>
      <c r="F69" s="179" t="s">
        <v>129</v>
      </c>
      <c r="G69" s="187"/>
      <c r="H69" s="181">
        <f t="shared" si="5"/>
        <v>0</v>
      </c>
      <c r="I69" s="179"/>
      <c r="J69" s="180"/>
      <c r="K69" s="181">
        <f t="shared" si="6"/>
        <v>0</v>
      </c>
      <c r="L69" s="3"/>
    </row>
    <row r="70" spans="1:12">
      <c r="A70" s="171" t="s">
        <v>116</v>
      </c>
      <c r="B70" s="172"/>
      <c r="C70" s="192">
        <v>53</v>
      </c>
      <c r="D70" s="174">
        <f t="shared" si="7"/>
        <v>0.18794326241134751</v>
      </c>
      <c r="E70" s="1"/>
      <c r="F70" s="179" t="s">
        <v>130</v>
      </c>
      <c r="G70" s="187"/>
      <c r="H70" s="181">
        <f t="shared" si="5"/>
        <v>0</v>
      </c>
      <c r="I70" s="193" t="s">
        <v>131</v>
      </c>
      <c r="J70" s="194"/>
      <c r="K70" s="195"/>
      <c r="L70" s="3"/>
    </row>
    <row r="71" spans="1:12">
      <c r="A71" s="171" t="s">
        <v>118</v>
      </c>
      <c r="B71" s="172"/>
      <c r="C71" s="192">
        <v>84</v>
      </c>
      <c r="D71" s="174">
        <f t="shared" si="7"/>
        <v>0.2978723404255319</v>
      </c>
      <c r="E71" s="1"/>
      <c r="F71" s="179" t="s">
        <v>132</v>
      </c>
      <c r="G71" s="180"/>
      <c r="H71" s="181">
        <f t="shared" si="5"/>
        <v>0</v>
      </c>
      <c r="I71" s="182" t="s">
        <v>133</v>
      </c>
      <c r="J71" s="187"/>
      <c r="K71" s="181">
        <f t="shared" si="6"/>
        <v>0</v>
      </c>
      <c r="L71" s="3"/>
    </row>
    <row r="72" spans="1:12">
      <c r="A72" s="171" t="s">
        <v>120</v>
      </c>
      <c r="B72" s="172"/>
      <c r="C72" s="192">
        <v>18</v>
      </c>
      <c r="D72" s="174">
        <f t="shared" si="7"/>
        <v>6.3829787234042548E-2</v>
      </c>
      <c r="E72" s="1"/>
      <c r="F72" s="179" t="s">
        <v>134</v>
      </c>
      <c r="G72" s="180"/>
      <c r="H72" s="181">
        <f t="shared" si="5"/>
        <v>0</v>
      </c>
      <c r="I72" s="182"/>
      <c r="J72" s="187"/>
      <c r="K72" s="181">
        <f t="shared" si="6"/>
        <v>0</v>
      </c>
      <c r="L72" s="3"/>
    </row>
    <row r="73" spans="1:12">
      <c r="A73" s="183" t="s">
        <v>122</v>
      </c>
      <c r="B73" s="184"/>
      <c r="C73" s="196"/>
      <c r="D73" s="186">
        <f t="shared" si="7"/>
        <v>0</v>
      </c>
      <c r="E73" s="1"/>
      <c r="F73" s="179" t="s">
        <v>135</v>
      </c>
      <c r="G73" s="180"/>
      <c r="H73" s="181">
        <f t="shared" si="5"/>
        <v>0</v>
      </c>
      <c r="I73" s="182"/>
      <c r="J73" s="187"/>
      <c r="K73" s="181">
        <f t="shared" si="6"/>
        <v>0</v>
      </c>
      <c r="L73" s="3"/>
    </row>
    <row r="74" spans="1:12">
      <c r="A74" s="19" t="s">
        <v>136</v>
      </c>
      <c r="B74" s="155"/>
      <c r="C74" s="155"/>
      <c r="D74" s="197"/>
      <c r="E74" s="1"/>
      <c r="F74" s="179" t="s">
        <v>137</v>
      </c>
      <c r="G74" s="180"/>
      <c r="H74" s="181">
        <f t="shared" si="5"/>
        <v>0</v>
      </c>
      <c r="I74" s="182"/>
      <c r="J74" s="187"/>
      <c r="K74" s="181">
        <f t="shared" si="6"/>
        <v>0</v>
      </c>
      <c r="L74" s="3"/>
    </row>
    <row r="75" spans="1:12">
      <c r="A75" s="167" t="s">
        <v>113</v>
      </c>
      <c r="B75" s="168"/>
      <c r="C75" s="169">
        <v>467.09</v>
      </c>
      <c r="D75" s="170">
        <f>+C75/C58</f>
        <v>0.35174028947090979</v>
      </c>
      <c r="E75" s="1"/>
      <c r="F75" s="179" t="s">
        <v>138</v>
      </c>
      <c r="G75" s="180"/>
      <c r="H75" s="181">
        <f t="shared" si="5"/>
        <v>0</v>
      </c>
      <c r="I75" s="182"/>
      <c r="J75" s="187"/>
      <c r="K75" s="181">
        <f t="shared" si="6"/>
        <v>0</v>
      </c>
      <c r="L75" s="3"/>
    </row>
    <row r="76" spans="1:12">
      <c r="A76" s="171" t="s">
        <v>114</v>
      </c>
      <c r="B76" s="172"/>
      <c r="C76" s="173">
        <v>751.16</v>
      </c>
      <c r="D76" s="174">
        <f t="shared" ref="D76:D81" si="8">+C76/C59</f>
        <v>0.44500263627154185</v>
      </c>
      <c r="E76" s="1"/>
      <c r="F76" s="179"/>
      <c r="G76" s="180"/>
      <c r="H76" s="181">
        <f t="shared" si="5"/>
        <v>0</v>
      </c>
      <c r="I76" s="179" t="s">
        <v>113</v>
      </c>
      <c r="J76" s="187"/>
      <c r="K76" s="181">
        <f t="shared" si="6"/>
        <v>0</v>
      </c>
      <c r="L76" s="3"/>
    </row>
    <row r="77" spans="1:12">
      <c r="A77" s="171" t="s">
        <v>115</v>
      </c>
      <c r="B77" s="172"/>
      <c r="C77" s="173">
        <v>1818.34</v>
      </c>
      <c r="D77" s="174">
        <f t="shared" si="8"/>
        <v>0.49651439977499923</v>
      </c>
      <c r="E77" s="1"/>
      <c r="F77" s="179"/>
      <c r="G77" s="180"/>
      <c r="H77" s="181">
        <f t="shared" si="5"/>
        <v>0</v>
      </c>
      <c r="I77" s="179" t="s">
        <v>114</v>
      </c>
      <c r="J77" s="187"/>
      <c r="K77" s="181">
        <f t="shared" si="6"/>
        <v>0</v>
      </c>
      <c r="L77" s="3"/>
    </row>
    <row r="78" spans="1:12">
      <c r="A78" s="171" t="s">
        <v>116</v>
      </c>
      <c r="B78" s="172"/>
      <c r="C78" s="173">
        <v>1078.44</v>
      </c>
      <c r="D78" s="174">
        <f t="shared" si="8"/>
        <v>0.36439816050630003</v>
      </c>
      <c r="E78" s="1"/>
      <c r="F78" s="179"/>
      <c r="G78" s="180"/>
      <c r="H78" s="181">
        <f t="shared" si="5"/>
        <v>0</v>
      </c>
      <c r="I78" s="179" t="s">
        <v>115</v>
      </c>
      <c r="J78" s="187"/>
      <c r="K78" s="181">
        <f t="shared" si="6"/>
        <v>0</v>
      </c>
      <c r="L78" s="3"/>
    </row>
    <row r="79" spans="1:12">
      <c r="A79" s="171" t="s">
        <v>118</v>
      </c>
      <c r="B79" s="172"/>
      <c r="C79" s="173">
        <v>1413.75</v>
      </c>
      <c r="D79" s="174">
        <f t="shared" si="8"/>
        <v>0.32071422576012959</v>
      </c>
      <c r="E79" s="198"/>
      <c r="F79" s="179"/>
      <c r="G79" s="180"/>
      <c r="H79" s="181">
        <f t="shared" si="5"/>
        <v>0</v>
      </c>
      <c r="I79" s="179" t="s">
        <v>139</v>
      </c>
      <c r="J79" s="187"/>
      <c r="K79" s="181">
        <f t="shared" si="6"/>
        <v>0</v>
      </c>
      <c r="L79" s="3"/>
    </row>
    <row r="80" spans="1:12">
      <c r="A80" s="171" t="s">
        <v>120</v>
      </c>
      <c r="B80" s="172"/>
      <c r="C80" s="173">
        <v>302.58</v>
      </c>
      <c r="D80" s="174">
        <f t="shared" si="8"/>
        <v>0.34411463664278402</v>
      </c>
      <c r="E80" s="198"/>
      <c r="F80" s="179"/>
      <c r="G80" s="180"/>
      <c r="H80" s="181">
        <f t="shared" si="5"/>
        <v>0</v>
      </c>
      <c r="I80" s="179" t="s">
        <v>118</v>
      </c>
      <c r="J80" s="187"/>
      <c r="K80" s="181">
        <f t="shared" si="6"/>
        <v>0</v>
      </c>
      <c r="L80" s="3"/>
    </row>
    <row r="81" spans="1:12">
      <c r="A81" s="183" t="s">
        <v>122</v>
      </c>
      <c r="B81" s="184"/>
      <c r="C81" s="185"/>
      <c r="D81" s="186" t="e">
        <f t="shared" si="8"/>
        <v>#DIV/0!</v>
      </c>
      <c r="E81" s="198"/>
      <c r="F81" s="199" t="s">
        <v>140</v>
      </c>
      <c r="G81" s="200"/>
      <c r="H81" s="201"/>
      <c r="I81" s="202">
        <f>SUM(G63:G80,J63:J69)</f>
        <v>0</v>
      </c>
      <c r="J81" s="203">
        <f>+I81/C19</f>
        <v>0</v>
      </c>
      <c r="K81" s="204"/>
      <c r="L81" s="3"/>
    </row>
    <row r="82" spans="1:12">
      <c r="A82" s="205"/>
      <c r="B82" s="205"/>
      <c r="C82" s="206"/>
      <c r="D82" s="207"/>
      <c r="E82" s="208"/>
      <c r="F82" s="3"/>
      <c r="G82" s="3"/>
      <c r="H82" s="3"/>
      <c r="I82" s="3"/>
      <c r="J82" s="3"/>
      <c r="K82" s="3"/>
      <c r="L82" s="3"/>
    </row>
    <row r="83" spans="1:12">
      <c r="A83" s="205"/>
      <c r="B83" s="205"/>
      <c r="C83" s="206"/>
      <c r="D83" s="207"/>
      <c r="E83" s="208"/>
      <c r="F83" s="3"/>
      <c r="G83" s="3"/>
      <c r="H83" s="3"/>
      <c r="I83" s="3"/>
      <c r="J83" s="3"/>
      <c r="K83" s="3"/>
      <c r="L83" s="3"/>
    </row>
    <row r="84" spans="1:12">
      <c r="A84" s="205"/>
      <c r="B84" s="205"/>
      <c r="C84" s="206"/>
      <c r="D84" s="209"/>
      <c r="E84" s="208"/>
      <c r="F84" s="3"/>
      <c r="G84" s="3"/>
      <c r="H84" s="3"/>
      <c r="I84" s="3"/>
      <c r="J84" s="3"/>
      <c r="K84" s="3"/>
      <c r="L84" s="3"/>
    </row>
    <row r="85" spans="1:12">
      <c r="A85" s="210"/>
      <c r="B85" s="210"/>
      <c r="C85" s="211"/>
      <c r="D85" s="212"/>
      <c r="E85" s="208"/>
      <c r="F85" s="3"/>
      <c r="G85" s="3"/>
      <c r="H85" s="3"/>
      <c r="I85" s="3"/>
      <c r="J85" s="3"/>
      <c r="K85" s="3"/>
      <c r="L85" s="3"/>
    </row>
    <row r="86" spans="1:12">
      <c r="A86" s="213"/>
      <c r="B86" s="213"/>
      <c r="C86" s="213"/>
      <c r="D86" s="213"/>
      <c r="E86" s="208"/>
      <c r="F86" s="3"/>
      <c r="G86" s="3"/>
      <c r="H86" s="3"/>
      <c r="I86" s="3"/>
      <c r="J86" s="3"/>
      <c r="K86" s="3"/>
      <c r="L86" s="3"/>
    </row>
    <row r="87" spans="1:12">
      <c r="A87" s="214"/>
      <c r="B87" s="214"/>
      <c r="C87" s="215"/>
      <c r="D87" s="216"/>
      <c r="E87" s="208"/>
      <c r="F87" s="3"/>
      <c r="G87" s="3"/>
      <c r="H87" s="3"/>
      <c r="I87" s="3"/>
      <c r="J87" s="3"/>
      <c r="K87" s="3"/>
      <c r="L87" s="3"/>
    </row>
    <row r="88" spans="1:12">
      <c r="A88" s="214"/>
      <c r="B88" s="214"/>
      <c r="C88" s="217"/>
      <c r="D88" s="218"/>
      <c r="E88" s="3"/>
      <c r="F88" s="3"/>
      <c r="G88" s="3"/>
      <c r="H88" s="3"/>
      <c r="I88" s="3"/>
      <c r="J88" s="3"/>
      <c r="K88" s="3"/>
      <c r="L88" s="3"/>
    </row>
    <row r="89" spans="1:1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3"/>
      <c r="B90" s="3"/>
      <c r="C90" s="3"/>
      <c r="D90" s="3"/>
      <c r="E90" s="3"/>
      <c r="F90" s="3"/>
      <c r="G90" s="3"/>
      <c r="H90" s="3"/>
      <c r="I90" s="3"/>
      <c r="J90" s="3"/>
      <c r="K90" s="219"/>
      <c r="L90" s="3"/>
    </row>
    <row r="91" spans="1:1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3"/>
      <c r="B103" s="3"/>
      <c r="C103" s="3"/>
      <c r="D103" s="3"/>
      <c r="E103" s="3"/>
      <c r="F103" s="3"/>
      <c r="G103" s="3"/>
      <c r="H103" s="220"/>
      <c r="I103" s="3"/>
      <c r="J103" s="3"/>
      <c r="K103" s="3"/>
      <c r="L103" s="3"/>
    </row>
  </sheetData>
  <customSheetViews>
    <customSheetView guid="{2443864E-3EC0-42CB-9BCC-E86B96EC82D4}">
      <selection sqref="A1:L103"/>
      <pageMargins left="0.7" right="0.7" top="0.75" bottom="0.75" header="0.3" footer="0.3"/>
    </customSheetView>
  </customSheetViews>
  <mergeCells count="49">
    <mergeCell ref="F81:H81"/>
    <mergeCell ref="A57:D57"/>
    <mergeCell ref="F61:K61"/>
    <mergeCell ref="F62:K62"/>
    <mergeCell ref="A66:D66"/>
    <mergeCell ref="I70:K70"/>
    <mergeCell ref="A74:D74"/>
    <mergeCell ref="A51:B51"/>
    <mergeCell ref="A52:B52"/>
    <mergeCell ref="A53:B53"/>
    <mergeCell ref="A54:B54"/>
    <mergeCell ref="A55:B55"/>
    <mergeCell ref="A56:B56"/>
    <mergeCell ref="A46:B46"/>
    <mergeCell ref="A47:B47"/>
    <mergeCell ref="A48:B48"/>
    <mergeCell ref="A49:B49"/>
    <mergeCell ref="A50:D50"/>
    <mergeCell ref="F50:K50"/>
    <mergeCell ref="A27:B27"/>
    <mergeCell ref="F28:K28"/>
    <mergeCell ref="F39:K39"/>
    <mergeCell ref="A43:B43"/>
    <mergeCell ref="A44:B44"/>
    <mergeCell ref="A45:B45"/>
    <mergeCell ref="A19:B19"/>
    <mergeCell ref="A20:B20"/>
    <mergeCell ref="A21:B21"/>
    <mergeCell ref="A22:B22"/>
    <mergeCell ref="A23:B23"/>
    <mergeCell ref="A26:D2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B1:J1"/>
    <mergeCell ref="G2:H2"/>
    <mergeCell ref="G3:H3"/>
    <mergeCell ref="G4:H4"/>
    <mergeCell ref="A6:B6"/>
    <mergeCell ref="F6:K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3"/>
  <sheetViews>
    <sheetView workbookViewId="0">
      <selection sqref="A1:L103"/>
    </sheetView>
  </sheetViews>
  <sheetFormatPr baseColWidth="10" defaultRowHeight="15"/>
  <sheetData>
    <row r="1" spans="1:12" ht="22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1"/>
      <c r="L1" s="3"/>
    </row>
    <row r="2" spans="1:12" ht="16.5">
      <c r="A2" s="4"/>
      <c r="B2" s="3"/>
      <c r="C2" s="5"/>
      <c r="D2" s="5"/>
      <c r="E2" s="5"/>
      <c r="F2" s="5" t="s">
        <v>2</v>
      </c>
      <c r="G2" s="6"/>
      <c r="H2" s="6"/>
      <c r="I2" s="5"/>
      <c r="J2" s="5"/>
      <c r="K2" s="4"/>
      <c r="L2" s="3"/>
    </row>
    <row r="3" spans="1:12">
      <c r="A3" s="7" t="s">
        <v>3</v>
      </c>
      <c r="B3" s="8"/>
      <c r="C3" s="9"/>
      <c r="D3" s="10"/>
      <c r="E3" s="10"/>
      <c r="F3" s="11" t="s">
        <v>4</v>
      </c>
      <c r="G3" s="12"/>
      <c r="H3" s="12"/>
      <c r="I3" s="13"/>
      <c r="J3" s="14"/>
      <c r="K3" s="14"/>
      <c r="L3" s="3"/>
    </row>
    <row r="4" spans="1:12">
      <c r="A4" s="7" t="s">
        <v>5</v>
      </c>
      <c r="B4" s="8"/>
      <c r="C4" s="9"/>
      <c r="D4" s="10"/>
      <c r="E4" s="10"/>
      <c r="F4" s="11" t="s">
        <v>6</v>
      </c>
      <c r="G4" s="15"/>
      <c r="H4" s="15"/>
      <c r="I4" s="13"/>
      <c r="J4" s="11" t="s">
        <v>7</v>
      </c>
      <c r="K4" s="16"/>
      <c r="L4" s="3"/>
    </row>
    <row r="5" spans="1:12" ht="15.75" thickBot="1">
      <c r="A5" s="17"/>
      <c r="B5" s="17"/>
      <c r="C5" s="17"/>
      <c r="D5" s="17"/>
      <c r="E5" s="17"/>
      <c r="F5" s="17"/>
      <c r="G5" s="17"/>
      <c r="H5" s="17"/>
      <c r="I5" s="18"/>
      <c r="J5" s="17"/>
      <c r="K5" s="17"/>
      <c r="L5" s="3"/>
    </row>
    <row r="6" spans="1:12">
      <c r="A6" s="19" t="s">
        <v>8</v>
      </c>
      <c r="B6" s="20"/>
      <c r="C6" s="21" t="s">
        <v>9</v>
      </c>
      <c r="D6" s="21" t="s">
        <v>10</v>
      </c>
      <c r="E6" s="1"/>
      <c r="F6" s="22" t="s">
        <v>11</v>
      </c>
      <c r="G6" s="23"/>
      <c r="H6" s="23"/>
      <c r="I6" s="23"/>
      <c r="J6" s="23"/>
      <c r="K6" s="24"/>
      <c r="L6" s="3"/>
    </row>
    <row r="7" spans="1:12">
      <c r="A7" s="25" t="s">
        <v>12</v>
      </c>
      <c r="B7" s="26"/>
      <c r="C7" s="27">
        <v>116698.07</v>
      </c>
      <c r="D7" s="28"/>
      <c r="E7" s="1"/>
      <c r="F7" s="29" t="s">
        <v>13</v>
      </c>
      <c r="G7" s="30" t="s">
        <v>14</v>
      </c>
      <c r="H7" s="30" t="s">
        <v>15</v>
      </c>
      <c r="I7" s="30" t="s">
        <v>16</v>
      </c>
      <c r="J7" s="30" t="s">
        <v>17</v>
      </c>
      <c r="K7" s="31"/>
      <c r="L7" s="3"/>
    </row>
    <row r="8" spans="1:12" ht="15.75">
      <c r="A8" s="32" t="s">
        <v>18</v>
      </c>
      <c r="B8" s="33"/>
      <c r="C8" s="34"/>
      <c r="D8" s="35">
        <f>+C8/C7</f>
        <v>0</v>
      </c>
      <c r="E8" s="1"/>
      <c r="F8" s="36" t="s">
        <v>19</v>
      </c>
      <c r="G8" s="37">
        <v>1920</v>
      </c>
      <c r="H8" s="38">
        <v>54769.62</v>
      </c>
      <c r="I8" s="39">
        <f t="shared" ref="I8:I25" si="0">IF(G8&gt;0,(H8/G8),0)</f>
        <v>28.52584375</v>
      </c>
      <c r="J8" s="40">
        <f>+H8/$C$12</f>
        <v>0.54441996512881485</v>
      </c>
      <c r="K8" s="41"/>
      <c r="L8" s="42"/>
    </row>
    <row r="9" spans="1:12" ht="15.75">
      <c r="A9" s="32" t="s">
        <v>20</v>
      </c>
      <c r="B9" s="33"/>
      <c r="C9" s="43">
        <f>((C7/1.16)-C7)*-1</f>
        <v>16096.285517241369</v>
      </c>
      <c r="D9" s="35"/>
      <c r="E9" s="1"/>
      <c r="F9" s="36" t="s">
        <v>21</v>
      </c>
      <c r="G9" s="37">
        <v>60</v>
      </c>
      <c r="H9" s="44">
        <v>2602.6999999999998</v>
      </c>
      <c r="I9" s="39">
        <f t="shared" si="0"/>
        <v>43.37833333333333</v>
      </c>
      <c r="J9" s="40">
        <f t="shared" ref="J9:J25" si="1">+H9/$C$12</f>
        <v>2.5871310468116561E-2</v>
      </c>
      <c r="K9" s="41"/>
      <c r="L9" s="42"/>
    </row>
    <row r="10" spans="1:12" ht="15.75">
      <c r="A10" s="32" t="s">
        <v>22</v>
      </c>
      <c r="B10" s="33"/>
      <c r="C10" s="45">
        <f>+C7-C11</f>
        <v>95958.87000000001</v>
      </c>
      <c r="D10" s="46">
        <f>+C10/C7</f>
        <v>0.82228326483891301</v>
      </c>
      <c r="E10" s="1"/>
      <c r="F10" s="36" t="s">
        <v>23</v>
      </c>
      <c r="G10" s="37">
        <v>62</v>
      </c>
      <c r="H10" s="44">
        <v>2707.84</v>
      </c>
      <c r="I10" s="39">
        <f t="shared" si="0"/>
        <v>43.674838709677424</v>
      </c>
      <c r="J10" s="40">
        <f t="shared" si="1"/>
        <v>2.6916421154180182E-2</v>
      </c>
      <c r="K10" s="41"/>
      <c r="L10" s="42"/>
    </row>
    <row r="11" spans="1:12" ht="15.75">
      <c r="A11" s="47" t="s">
        <v>24</v>
      </c>
      <c r="B11" s="48"/>
      <c r="C11" s="49">
        <v>20739.2</v>
      </c>
      <c r="D11" s="50">
        <f>+C11/C7</f>
        <v>0.17771673516108707</v>
      </c>
      <c r="E11" s="1"/>
      <c r="F11" s="36" t="s">
        <v>25</v>
      </c>
      <c r="G11" s="37">
        <v>99</v>
      </c>
      <c r="H11" s="44">
        <v>2114.8200000000002</v>
      </c>
      <c r="I11" s="39">
        <f t="shared" si="0"/>
        <v>21.361818181818183</v>
      </c>
      <c r="J11" s="40">
        <f t="shared" si="1"/>
        <v>2.1021694703262872E-2</v>
      </c>
      <c r="K11" s="41"/>
      <c r="L11" s="42"/>
    </row>
    <row r="12" spans="1:12" ht="15.75">
      <c r="A12" s="51" t="s">
        <v>26</v>
      </c>
      <c r="B12" s="52"/>
      <c r="C12" s="53">
        <f>+C7-C9-C8</f>
        <v>100601.78448275864</v>
      </c>
      <c r="D12" s="54">
        <v>1</v>
      </c>
      <c r="E12" s="1"/>
      <c r="F12" s="36" t="s">
        <v>27</v>
      </c>
      <c r="G12" s="37">
        <v>111</v>
      </c>
      <c r="H12" s="44">
        <v>3134.27</v>
      </c>
      <c r="I12" s="39">
        <f t="shared" si="0"/>
        <v>28.236666666666668</v>
      </c>
      <c r="J12" s="40">
        <f t="shared" si="1"/>
        <v>3.1155212764015713E-2</v>
      </c>
      <c r="K12" s="41"/>
      <c r="L12" s="42"/>
    </row>
    <row r="13" spans="1:12" ht="15.75">
      <c r="A13" s="32" t="s">
        <v>28</v>
      </c>
      <c r="B13" s="33"/>
      <c r="C13" s="55">
        <f>+H19+H21</f>
        <v>3248.35</v>
      </c>
      <c r="D13" s="56">
        <f>+C13/C$12</f>
        <v>3.2289188672957478E-2</v>
      </c>
      <c r="E13" s="1"/>
      <c r="F13" s="36" t="s">
        <v>29</v>
      </c>
      <c r="G13" s="37">
        <v>69</v>
      </c>
      <c r="H13" s="44">
        <v>3118.02</v>
      </c>
      <c r="I13" s="39">
        <f t="shared" si="0"/>
        <v>45.188695652173912</v>
      </c>
      <c r="J13" s="40">
        <f t="shared" si="1"/>
        <v>3.0993684814153304E-2</v>
      </c>
      <c r="K13" s="41"/>
      <c r="L13" s="42"/>
    </row>
    <row r="14" spans="1:12" ht="15.75">
      <c r="A14" s="32" t="s">
        <v>30</v>
      </c>
      <c r="B14" s="33"/>
      <c r="C14" s="57">
        <f>+C12-C13-C15</f>
        <v>78625.784482758638</v>
      </c>
      <c r="D14" s="56">
        <f>+C14/C$12</f>
        <v>0.78155457069684187</v>
      </c>
      <c r="E14" s="1"/>
      <c r="F14" s="36" t="s">
        <v>31</v>
      </c>
      <c r="G14" s="37">
        <v>26</v>
      </c>
      <c r="H14" s="44">
        <v>659.86</v>
      </c>
      <c r="I14" s="39">
        <f t="shared" si="0"/>
        <v>25.379230769230769</v>
      </c>
      <c r="J14" s="40">
        <f t="shared" si="1"/>
        <v>6.5591281843821398E-3</v>
      </c>
      <c r="K14" s="41"/>
      <c r="L14" s="42"/>
    </row>
    <row r="15" spans="1:12" ht="15.75">
      <c r="A15" s="32" t="s">
        <v>32</v>
      </c>
      <c r="B15" s="33"/>
      <c r="C15" s="55">
        <f>+H16</f>
        <v>18727.650000000001</v>
      </c>
      <c r="D15" s="56">
        <f>+C15/C$12</f>
        <v>0.18615624063020064</v>
      </c>
      <c r="E15" s="1"/>
      <c r="F15" s="36" t="s">
        <v>33</v>
      </c>
      <c r="G15" s="37">
        <v>0</v>
      </c>
      <c r="H15" s="44">
        <v>0</v>
      </c>
      <c r="I15" s="39">
        <f t="shared" si="0"/>
        <v>0</v>
      </c>
      <c r="J15" s="40">
        <f t="shared" si="1"/>
        <v>0</v>
      </c>
      <c r="K15" s="41"/>
      <c r="L15" s="42"/>
    </row>
    <row r="16" spans="1:12" ht="15.75">
      <c r="A16" s="47" t="s">
        <v>34</v>
      </c>
      <c r="B16" s="48"/>
      <c r="C16" s="58"/>
      <c r="D16" s="59">
        <f>+C16/C$12</f>
        <v>0</v>
      </c>
      <c r="E16" s="1"/>
      <c r="F16" s="36" t="s">
        <v>35</v>
      </c>
      <c r="G16" s="37">
        <v>78</v>
      </c>
      <c r="H16" s="44">
        <v>18727.650000000001</v>
      </c>
      <c r="I16" s="39">
        <f t="shared" si="0"/>
        <v>240.09807692307695</v>
      </c>
      <c r="J16" s="40">
        <f t="shared" si="1"/>
        <v>0.18615624063020064</v>
      </c>
      <c r="K16" s="41"/>
      <c r="L16" s="42"/>
    </row>
    <row r="17" spans="1:12" ht="15.75">
      <c r="A17" s="60" t="s">
        <v>36</v>
      </c>
      <c r="B17" s="61"/>
      <c r="C17" s="62">
        <v>79206</v>
      </c>
      <c r="D17" s="63">
        <f>((C$12-C17)/C17)</f>
        <v>0.27012832970682321</v>
      </c>
      <c r="E17" s="1"/>
      <c r="F17" s="36" t="s">
        <v>37</v>
      </c>
      <c r="G17" s="37">
        <v>191</v>
      </c>
      <c r="H17" s="44">
        <v>3093.25</v>
      </c>
      <c r="I17" s="39">
        <f t="shared" si="0"/>
        <v>16.195026178010473</v>
      </c>
      <c r="J17" s="40">
        <f t="shared" si="1"/>
        <v>3.0747466517655343E-2</v>
      </c>
      <c r="K17" s="41"/>
      <c r="L17" s="42"/>
    </row>
    <row r="18" spans="1:12" ht="15.75">
      <c r="A18" s="47" t="s">
        <v>38</v>
      </c>
      <c r="B18" s="64"/>
      <c r="C18" s="65">
        <v>93955</v>
      </c>
      <c r="D18" s="59">
        <f>((C$12-C18)/C18)</f>
        <v>7.0744340192205185E-2</v>
      </c>
      <c r="E18" s="1"/>
      <c r="F18" s="36" t="s">
        <v>39</v>
      </c>
      <c r="G18" s="37">
        <v>49</v>
      </c>
      <c r="H18" s="38">
        <v>1409.01</v>
      </c>
      <c r="I18" s="39">
        <f t="shared" si="0"/>
        <v>28.755306122448978</v>
      </c>
      <c r="J18" s="40">
        <f t="shared" si="1"/>
        <v>1.4005815177577485E-2</v>
      </c>
      <c r="K18" s="41"/>
      <c r="L18" s="42"/>
    </row>
    <row r="19" spans="1:12" ht="15.75">
      <c r="A19" s="25" t="s">
        <v>40</v>
      </c>
      <c r="B19" s="26"/>
      <c r="C19" s="66">
        <v>1358</v>
      </c>
      <c r="D19" s="28"/>
      <c r="E19" s="1"/>
      <c r="F19" s="36" t="s">
        <v>41</v>
      </c>
      <c r="G19" s="37">
        <v>38</v>
      </c>
      <c r="H19" s="44">
        <v>1689.6</v>
      </c>
      <c r="I19" s="39">
        <f t="shared" si="0"/>
        <v>44.463157894736838</v>
      </c>
      <c r="J19" s="40">
        <f t="shared" si="1"/>
        <v>1.6794930713078627E-2</v>
      </c>
      <c r="K19" s="41"/>
      <c r="L19" s="42"/>
    </row>
    <row r="20" spans="1:12" ht="15.75">
      <c r="A20" s="32" t="s">
        <v>42</v>
      </c>
      <c r="B20" s="33"/>
      <c r="C20" s="67">
        <v>841</v>
      </c>
      <c r="D20" s="68">
        <f>((C$19-C20)/C20)</f>
        <v>0.6147443519619501</v>
      </c>
      <c r="E20" s="1"/>
      <c r="F20" s="36" t="s">
        <v>43</v>
      </c>
      <c r="G20" s="37">
        <v>6</v>
      </c>
      <c r="H20" s="44">
        <v>527.58000000000004</v>
      </c>
      <c r="I20" s="39">
        <f t="shared" si="0"/>
        <v>87.93</v>
      </c>
      <c r="J20" s="40">
        <f t="shared" si="1"/>
        <v>5.244240971594474E-3</v>
      </c>
      <c r="K20" s="41"/>
      <c r="L20" s="42"/>
    </row>
    <row r="21" spans="1:12" ht="15.75">
      <c r="A21" s="32" t="s">
        <v>44</v>
      </c>
      <c r="B21" s="33"/>
      <c r="C21" s="67">
        <v>1105</v>
      </c>
      <c r="D21" s="68">
        <f>((C$19-C21)/C21)</f>
        <v>0.22895927601809954</v>
      </c>
      <c r="E21" s="1"/>
      <c r="F21" s="36" t="s">
        <v>45</v>
      </c>
      <c r="G21" s="37">
        <v>40</v>
      </c>
      <c r="H21" s="44">
        <v>1558.75</v>
      </c>
      <c r="I21" s="39">
        <f t="shared" si="0"/>
        <v>38.96875</v>
      </c>
      <c r="J21" s="40">
        <f t="shared" si="1"/>
        <v>1.5494257959878854E-2</v>
      </c>
      <c r="K21" s="41"/>
      <c r="L21" s="42"/>
    </row>
    <row r="22" spans="1:12" ht="15.75">
      <c r="A22" s="51" t="s">
        <v>46</v>
      </c>
      <c r="B22" s="52"/>
      <c r="C22" s="53">
        <f>+C12/C19</f>
        <v>74.080842770809014</v>
      </c>
      <c r="D22" s="68"/>
      <c r="E22" s="1"/>
      <c r="F22" s="36" t="s">
        <v>47</v>
      </c>
      <c r="G22" s="37">
        <v>162</v>
      </c>
      <c r="H22" s="44">
        <v>3761.3</v>
      </c>
      <c r="I22" s="39">
        <f t="shared" si="0"/>
        <v>23.217901234567904</v>
      </c>
      <c r="J22" s="40">
        <f t="shared" si="1"/>
        <v>3.7388004788768137E-2</v>
      </c>
      <c r="K22" s="41"/>
      <c r="L22" s="42"/>
    </row>
    <row r="23" spans="1:12" ht="15.75">
      <c r="A23" s="32" t="s">
        <v>48</v>
      </c>
      <c r="B23" s="69"/>
      <c r="C23" s="70">
        <v>94</v>
      </c>
      <c r="D23" s="68">
        <f>((C$22-C23)/C23)</f>
        <v>-0.21190592797011687</v>
      </c>
      <c r="E23" s="1"/>
      <c r="F23" s="36" t="s">
        <v>49</v>
      </c>
      <c r="G23" s="37">
        <v>0</v>
      </c>
      <c r="H23" s="44">
        <v>0</v>
      </c>
      <c r="I23" s="39">
        <f t="shared" si="0"/>
        <v>0</v>
      </c>
      <c r="J23" s="40">
        <f t="shared" si="1"/>
        <v>0</v>
      </c>
      <c r="K23" s="41"/>
      <c r="L23" s="42"/>
    </row>
    <row r="24" spans="1:12" ht="15.75">
      <c r="A24" s="71"/>
      <c r="B24" s="72"/>
      <c r="C24" s="73">
        <f>C22-C23</f>
        <v>-19.919157229190986</v>
      </c>
      <c r="D24" s="68"/>
      <c r="E24" s="1"/>
      <c r="F24" s="36" t="s">
        <v>50</v>
      </c>
      <c r="G24" s="37">
        <v>281</v>
      </c>
      <c r="H24" s="44">
        <v>1865.98</v>
      </c>
      <c r="I24" s="39">
        <f t="shared" si="0"/>
        <v>6.6404982206405698</v>
      </c>
      <c r="J24" s="40">
        <f>+H24/$C$12</f>
        <v>1.8548179931339049E-2</v>
      </c>
      <c r="K24" s="41"/>
      <c r="L24" s="42"/>
    </row>
    <row r="25" spans="1:12" ht="15.75">
      <c r="A25" s="74" t="s">
        <v>51</v>
      </c>
      <c r="B25" s="75"/>
      <c r="C25" s="76">
        <f>+H32</f>
        <v>60</v>
      </c>
      <c r="D25" s="77">
        <f>((C$22-C25)/C25)</f>
        <v>0.23468071284681688</v>
      </c>
      <c r="E25" s="1" t="s">
        <v>52</v>
      </c>
      <c r="F25" s="36" t="s">
        <v>53</v>
      </c>
      <c r="G25" s="78">
        <v>158</v>
      </c>
      <c r="H25" s="44">
        <v>0</v>
      </c>
      <c r="I25" s="39">
        <f t="shared" si="0"/>
        <v>0</v>
      </c>
      <c r="J25" s="40">
        <f t="shared" si="1"/>
        <v>0</v>
      </c>
      <c r="K25" s="41"/>
      <c r="L25" s="42"/>
    </row>
    <row r="26" spans="1:12" ht="16.5" thickBot="1">
      <c r="A26" s="79" t="s">
        <v>54</v>
      </c>
      <c r="B26" s="80"/>
      <c r="C26" s="80"/>
      <c r="D26" s="81"/>
      <c r="E26" s="1"/>
      <c r="F26" s="82" t="s">
        <v>55</v>
      </c>
      <c r="G26" s="83">
        <v>410</v>
      </c>
      <c r="H26" s="84">
        <v>8659.2000000000007</v>
      </c>
      <c r="I26" s="85">
        <f>IF(G26&gt;0,(H26/G26),0)</f>
        <v>21.12</v>
      </c>
      <c r="J26" s="86">
        <f>+H26/$C$12</f>
        <v>8.6074019904527982E-2</v>
      </c>
      <c r="K26" s="87"/>
      <c r="L26" s="42"/>
    </row>
    <row r="27" spans="1:12" ht="15.75" thickBot="1">
      <c r="A27" s="88" t="s">
        <v>56</v>
      </c>
      <c r="B27" s="89"/>
      <c r="C27" s="90"/>
      <c r="D27" s="91"/>
      <c r="E27" s="1"/>
      <c r="F27" s="92" t="s">
        <v>57</v>
      </c>
      <c r="G27" s="93">
        <f>SUM(G8:G26)</f>
        <v>3760</v>
      </c>
      <c r="H27" s="94">
        <f>SUM(H8:H26)</f>
        <v>110399.45</v>
      </c>
      <c r="I27" s="95">
        <f>+H27/G27</f>
        <v>29.36155585106383</v>
      </c>
      <c r="J27" s="96">
        <f>SUM(J8:J26)</f>
        <v>1.0973905738115461</v>
      </c>
      <c r="K27" s="97"/>
      <c r="L27" s="3"/>
    </row>
    <row r="28" spans="1:12" ht="15.75" thickBot="1">
      <c r="A28" s="98" t="s">
        <v>58</v>
      </c>
      <c r="B28" s="99"/>
      <c r="C28" s="90">
        <v>17267.66</v>
      </c>
      <c r="D28" s="100"/>
      <c r="E28" s="1"/>
      <c r="F28" s="22" t="s">
        <v>59</v>
      </c>
      <c r="G28" s="23"/>
      <c r="H28" s="23"/>
      <c r="I28" s="23"/>
      <c r="J28" s="23"/>
      <c r="K28" s="24"/>
      <c r="L28" s="3"/>
    </row>
    <row r="29" spans="1:12">
      <c r="A29" s="98" t="s">
        <v>60</v>
      </c>
      <c r="B29" s="99"/>
      <c r="C29" s="101">
        <v>49.38</v>
      </c>
      <c r="D29" s="102"/>
      <c r="E29" s="1"/>
      <c r="F29" s="29"/>
      <c r="G29" s="30" t="s">
        <v>61</v>
      </c>
      <c r="H29" s="30" t="s">
        <v>62</v>
      </c>
      <c r="I29" s="30"/>
      <c r="J29" s="30" t="s">
        <v>63</v>
      </c>
      <c r="K29" s="30" t="s">
        <v>64</v>
      </c>
      <c r="L29" s="3"/>
    </row>
    <row r="30" spans="1:12" ht="15.75">
      <c r="A30" s="98" t="s">
        <v>60</v>
      </c>
      <c r="B30" s="99"/>
      <c r="C30" s="101">
        <v>48.56</v>
      </c>
      <c r="D30" s="102"/>
      <c r="E30" s="1"/>
      <c r="F30" s="103" t="s">
        <v>65</v>
      </c>
      <c r="G30" s="104">
        <f>+C12</f>
        <v>100601.78448275864</v>
      </c>
      <c r="H30" s="105">
        <v>100789.95</v>
      </c>
      <c r="I30" s="106" t="s">
        <v>66</v>
      </c>
      <c r="J30" s="107">
        <f t="shared" ref="J30:J37" si="2">((G30-H30)/H30)</f>
        <v>-1.8669075363303518E-3</v>
      </c>
      <c r="K30" s="108">
        <f t="shared" ref="K30:K37" si="3">+G30-H30</f>
        <v>-188.16551724135934</v>
      </c>
      <c r="L30" s="3"/>
    </row>
    <row r="31" spans="1:12" ht="15.75">
      <c r="A31" s="98" t="s">
        <v>60</v>
      </c>
      <c r="B31" s="99"/>
      <c r="C31" s="101">
        <v>116.58</v>
      </c>
      <c r="D31" s="102"/>
      <c r="E31" s="1"/>
      <c r="F31" s="103" t="s">
        <v>67</v>
      </c>
      <c r="G31" s="109">
        <f>+C19</f>
        <v>1358</v>
      </c>
      <c r="H31" s="110">
        <f>+(C21*5%)+C21</f>
        <v>1160.25</v>
      </c>
      <c r="I31" s="111" t="s">
        <v>68</v>
      </c>
      <c r="J31" s="107">
        <f t="shared" si="2"/>
        <v>0.17043740573152338</v>
      </c>
      <c r="K31" s="112">
        <f t="shared" si="3"/>
        <v>197.75</v>
      </c>
      <c r="L31" s="3"/>
    </row>
    <row r="32" spans="1:12" ht="15.75">
      <c r="A32" s="98" t="s">
        <v>60</v>
      </c>
      <c r="B32" s="99"/>
      <c r="C32" s="101">
        <v>88.76</v>
      </c>
      <c r="D32" s="102"/>
      <c r="E32" s="1"/>
      <c r="F32" s="103" t="s">
        <v>46</v>
      </c>
      <c r="G32" s="104">
        <f>+C22</f>
        <v>74.080842770809014</v>
      </c>
      <c r="H32" s="104">
        <v>60</v>
      </c>
      <c r="I32" s="113" t="s">
        <v>66</v>
      </c>
      <c r="J32" s="107">
        <f t="shared" si="2"/>
        <v>0.23468071284681688</v>
      </c>
      <c r="K32" s="108">
        <f t="shared" si="3"/>
        <v>14.080842770809014</v>
      </c>
      <c r="L32" s="3"/>
    </row>
    <row r="33" spans="1:12" ht="15.75">
      <c r="A33" s="71" t="s">
        <v>69</v>
      </c>
      <c r="B33" s="99"/>
      <c r="C33" s="101">
        <v>123.51</v>
      </c>
      <c r="D33" s="102"/>
      <c r="E33" s="1"/>
      <c r="F33" s="103" t="s">
        <v>70</v>
      </c>
      <c r="G33" s="104">
        <f>+H16</f>
        <v>18727.650000000001</v>
      </c>
      <c r="H33" s="104">
        <f>+G30*10%</f>
        <v>10060.178448275865</v>
      </c>
      <c r="I33" s="114" t="s">
        <v>71</v>
      </c>
      <c r="J33" s="107">
        <f t="shared" si="2"/>
        <v>0.8615624063020062</v>
      </c>
      <c r="K33" s="108">
        <f t="shared" si="3"/>
        <v>8667.4715517241366</v>
      </c>
      <c r="L33" s="3"/>
    </row>
    <row r="34" spans="1:12" ht="15.75">
      <c r="A34" s="71" t="s">
        <v>72</v>
      </c>
      <c r="B34" s="99"/>
      <c r="C34" s="101"/>
      <c r="D34" s="102"/>
      <c r="E34" s="1"/>
      <c r="F34" s="103" t="s">
        <v>73</v>
      </c>
      <c r="G34" s="104">
        <f>+H24</f>
        <v>1865.98</v>
      </c>
      <c r="H34" s="104">
        <f>+G30*2%</f>
        <v>2012.0356896551727</v>
      </c>
      <c r="I34" s="114" t="s">
        <v>74</v>
      </c>
      <c r="J34" s="107">
        <f t="shared" si="2"/>
        <v>-7.2591003433047488E-2</v>
      </c>
      <c r="K34" s="108">
        <f t="shared" si="3"/>
        <v>-146.05568965517273</v>
      </c>
      <c r="L34" s="3"/>
    </row>
    <row r="35" spans="1:12" ht="15.75">
      <c r="A35" s="71" t="s">
        <v>72</v>
      </c>
      <c r="B35" s="115"/>
      <c r="C35" s="101"/>
      <c r="D35" s="102"/>
      <c r="E35" s="1"/>
      <c r="F35" s="103" t="s">
        <v>75</v>
      </c>
      <c r="G35" s="104">
        <f>+C52</f>
        <v>871.14</v>
      </c>
      <c r="H35" s="104">
        <f>+G30*0.2%</f>
        <v>201.20356896551729</v>
      </c>
      <c r="I35" s="116" t="s">
        <v>76</v>
      </c>
      <c r="J35" s="107">
        <f t="shared" si="2"/>
        <v>3.3296448690196834</v>
      </c>
      <c r="K35" s="108">
        <f t="shared" si="3"/>
        <v>669.93643103448267</v>
      </c>
      <c r="L35" s="3"/>
    </row>
    <row r="36" spans="1:12" ht="15.75">
      <c r="A36" s="71" t="s">
        <v>72</v>
      </c>
      <c r="B36" s="115"/>
      <c r="C36" s="101"/>
      <c r="D36" s="102"/>
      <c r="E36" s="1"/>
      <c r="F36" s="103" t="s">
        <v>77</v>
      </c>
      <c r="G36" s="104">
        <f>+C53</f>
        <v>0</v>
      </c>
      <c r="H36" s="104">
        <f>+G30*0.5%</f>
        <v>503.00892241379319</v>
      </c>
      <c r="I36" s="116" t="s">
        <v>78</v>
      </c>
      <c r="J36" s="107">
        <f t="shared" si="2"/>
        <v>-1</v>
      </c>
      <c r="K36" s="108">
        <f t="shared" si="3"/>
        <v>-503.00892241379319</v>
      </c>
      <c r="L36" s="3"/>
    </row>
    <row r="37" spans="1:12" ht="16.5" thickBot="1">
      <c r="A37" s="71" t="s">
        <v>72</v>
      </c>
      <c r="B37" s="99"/>
      <c r="C37" s="101"/>
      <c r="D37" s="102"/>
      <c r="E37" s="1"/>
      <c r="F37" s="103" t="s">
        <v>79</v>
      </c>
      <c r="G37" s="104">
        <f>+C45</f>
        <v>17694.45</v>
      </c>
      <c r="H37" s="104">
        <f>+C12*34%</f>
        <v>34204.606724137942</v>
      </c>
      <c r="I37" s="117" t="s">
        <v>80</v>
      </c>
      <c r="J37" s="107">
        <f t="shared" si="2"/>
        <v>-0.48268810272526375</v>
      </c>
      <c r="K37" s="108">
        <f t="shared" si="3"/>
        <v>-16510.156724137942</v>
      </c>
      <c r="L37" s="3"/>
    </row>
    <row r="38" spans="1:12" ht="15.75" thickBot="1">
      <c r="A38" s="71" t="s">
        <v>72</v>
      </c>
      <c r="B38" s="99"/>
      <c r="C38" s="101"/>
      <c r="D38" s="102"/>
      <c r="E38" s="1"/>
      <c r="F38" s="118"/>
      <c r="G38" s="119"/>
      <c r="H38" s="119"/>
      <c r="I38" s="119"/>
      <c r="J38" s="119"/>
      <c r="K38" s="120"/>
      <c r="L38" s="3"/>
    </row>
    <row r="39" spans="1:12" ht="15.75" thickBot="1">
      <c r="A39" s="121" t="s">
        <v>81</v>
      </c>
      <c r="B39" s="122"/>
      <c r="C39" s="101"/>
      <c r="D39" s="123"/>
      <c r="E39" s="1"/>
      <c r="F39" s="124" t="s">
        <v>82</v>
      </c>
      <c r="G39" s="125"/>
      <c r="H39" s="125"/>
      <c r="I39" s="125"/>
      <c r="J39" s="125"/>
      <c r="K39" s="126"/>
      <c r="L39" s="3"/>
    </row>
    <row r="40" spans="1:12">
      <c r="A40" s="121" t="s">
        <v>81</v>
      </c>
      <c r="B40" s="122"/>
      <c r="C40" s="101"/>
      <c r="D40" s="123"/>
      <c r="E40" s="1"/>
      <c r="F40" s="127" t="s">
        <v>83</v>
      </c>
      <c r="G40" s="127" t="s">
        <v>84</v>
      </c>
      <c r="H40" s="127" t="s">
        <v>85</v>
      </c>
      <c r="I40" s="127" t="s">
        <v>86</v>
      </c>
      <c r="J40" s="128" t="s">
        <v>87</v>
      </c>
      <c r="K40" s="127" t="s">
        <v>88</v>
      </c>
      <c r="L40" s="3"/>
    </row>
    <row r="41" spans="1:12">
      <c r="A41" s="121" t="s">
        <v>81</v>
      </c>
      <c r="B41" s="122"/>
      <c r="C41" s="101"/>
      <c r="D41" s="123"/>
      <c r="E41" s="1"/>
      <c r="F41" s="129" t="s">
        <v>89</v>
      </c>
      <c r="G41" s="130"/>
      <c r="H41" s="131"/>
      <c r="I41" s="131"/>
      <c r="J41" s="131"/>
      <c r="K41" s="130"/>
      <c r="L41" s="3"/>
    </row>
    <row r="42" spans="1:12">
      <c r="A42" s="121" t="s">
        <v>81</v>
      </c>
      <c r="B42" s="122"/>
      <c r="C42" s="101"/>
      <c r="D42" s="132"/>
      <c r="E42" s="1"/>
      <c r="F42" s="129" t="s">
        <v>90</v>
      </c>
      <c r="G42" s="131"/>
      <c r="H42" s="131"/>
      <c r="I42" s="131"/>
      <c r="J42" s="131"/>
      <c r="K42" s="131"/>
      <c r="L42" s="3"/>
    </row>
    <row r="43" spans="1:12" ht="15.75" thickBot="1">
      <c r="A43" s="60" t="s">
        <v>91</v>
      </c>
      <c r="B43" s="133"/>
      <c r="C43" s="134">
        <f>SUM(C28:C42)</f>
        <v>17694.45</v>
      </c>
      <c r="D43" s="63"/>
      <c r="E43" s="1"/>
      <c r="F43" s="129" t="s">
        <v>92</v>
      </c>
      <c r="G43" s="130"/>
      <c r="H43" s="131"/>
      <c r="I43" s="131"/>
      <c r="J43" s="131"/>
      <c r="K43" s="130"/>
      <c r="L43" s="3"/>
    </row>
    <row r="44" spans="1:12" ht="15.75" thickBot="1">
      <c r="A44" s="88" t="s">
        <v>93</v>
      </c>
      <c r="B44" s="89"/>
      <c r="C44" s="90"/>
      <c r="D44" s="56"/>
      <c r="E44" s="1"/>
      <c r="F44" s="129" t="s">
        <v>94</v>
      </c>
      <c r="G44" s="135">
        <f>G41+G42-G43</f>
        <v>0</v>
      </c>
      <c r="H44" s="135">
        <f>H41+H42-H43</f>
        <v>0</v>
      </c>
      <c r="I44" s="135">
        <f>I41+I42-I43</f>
        <v>0</v>
      </c>
      <c r="J44" s="135">
        <f>J41+J42-J43</f>
        <v>0</v>
      </c>
      <c r="K44" s="135">
        <f>K41+K42-K43</f>
        <v>0</v>
      </c>
      <c r="L44" s="3"/>
    </row>
    <row r="45" spans="1:12" ht="15.75" thickBot="1">
      <c r="A45" s="136" t="s">
        <v>95</v>
      </c>
      <c r="B45" s="137"/>
      <c r="C45" s="138">
        <f>+(C27+C43)-C44</f>
        <v>17694.45</v>
      </c>
      <c r="D45" s="139">
        <f>+C45/C$12</f>
        <v>0.17588604507341035</v>
      </c>
      <c r="E45" s="1"/>
      <c r="F45" s="129" t="s">
        <v>96</v>
      </c>
      <c r="G45" s="140"/>
      <c r="H45" s="140"/>
      <c r="I45" s="140"/>
      <c r="J45" s="140"/>
      <c r="K45" s="140"/>
      <c r="L45" s="3"/>
    </row>
    <row r="46" spans="1:12" ht="15.75" thickBot="1">
      <c r="A46" s="136"/>
      <c r="B46" s="137"/>
      <c r="C46" s="141"/>
      <c r="D46" s="142"/>
      <c r="E46" s="1"/>
      <c r="F46" s="143" t="s">
        <v>97</v>
      </c>
      <c r="G46" s="144">
        <f>G45+G48-G44-G49</f>
        <v>0</v>
      </c>
      <c r="H46" s="144">
        <f>H45+H48-H44-H49</f>
        <v>0</v>
      </c>
      <c r="I46" s="144">
        <f>I45+I48-I44-I49</f>
        <v>0</v>
      </c>
      <c r="J46" s="144">
        <f>J45+J48-J44-J49</f>
        <v>0</v>
      </c>
      <c r="K46" s="144">
        <f>K45+K48-K44-K49</f>
        <v>0</v>
      </c>
      <c r="L46" s="3"/>
    </row>
    <row r="47" spans="1:12">
      <c r="A47" s="32" t="s">
        <v>98</v>
      </c>
      <c r="B47" s="33"/>
      <c r="C47" s="145">
        <f>+C75+C76+C77+C78+C79+C80+C81</f>
        <v>38241.800000000003</v>
      </c>
      <c r="D47" s="146">
        <f>+C47/C$12</f>
        <v>0.38013043403374192</v>
      </c>
      <c r="E47" s="1"/>
      <c r="F47" s="129" t="s">
        <v>99</v>
      </c>
      <c r="G47" s="147">
        <f>+G46*I10</f>
        <v>0</v>
      </c>
      <c r="H47" s="147">
        <f>+H46*$I$8</f>
        <v>0</v>
      </c>
      <c r="I47" s="147">
        <f>+I46*$I$8</f>
        <v>0</v>
      </c>
      <c r="J47" s="147">
        <f>+J46*$I$8</f>
        <v>0</v>
      </c>
      <c r="K47" s="147">
        <f>+K46*I16</f>
        <v>0</v>
      </c>
      <c r="L47" s="3"/>
    </row>
    <row r="48" spans="1:12">
      <c r="A48" s="47" t="s">
        <v>100</v>
      </c>
      <c r="B48" s="48"/>
      <c r="C48" s="148">
        <f>C45-C47</f>
        <v>-20547.350000000002</v>
      </c>
      <c r="D48" s="59">
        <f>D45-D47</f>
        <v>-0.20424438896033156</v>
      </c>
      <c r="E48" s="1"/>
      <c r="F48" s="149" t="s">
        <v>75</v>
      </c>
      <c r="G48" s="150"/>
      <c r="H48" s="150"/>
      <c r="I48" s="150"/>
      <c r="J48" s="150"/>
      <c r="K48" s="150"/>
      <c r="L48" s="3"/>
    </row>
    <row r="49" spans="1:12">
      <c r="A49" s="151"/>
      <c r="B49" s="151"/>
      <c r="C49" s="152"/>
      <c r="D49" s="153"/>
      <c r="E49" s="1"/>
      <c r="F49" s="149" t="s">
        <v>101</v>
      </c>
      <c r="G49" s="154"/>
      <c r="H49" s="154"/>
      <c r="I49" s="154"/>
      <c r="J49" s="154"/>
      <c r="K49" s="154"/>
      <c r="L49" s="3"/>
    </row>
    <row r="50" spans="1:12">
      <c r="A50" s="19" t="s">
        <v>102</v>
      </c>
      <c r="B50" s="155"/>
      <c r="C50" s="155"/>
      <c r="D50" s="20"/>
      <c r="E50" s="1"/>
      <c r="F50" s="19" t="s">
        <v>82</v>
      </c>
      <c r="G50" s="155"/>
      <c r="H50" s="155"/>
      <c r="I50" s="155"/>
      <c r="J50" s="155"/>
      <c r="K50" s="155"/>
      <c r="L50" s="3"/>
    </row>
    <row r="51" spans="1:12">
      <c r="A51" s="32" t="s">
        <v>103</v>
      </c>
      <c r="B51" s="69"/>
      <c r="C51" s="156">
        <f>(C45-C52-C53)</f>
        <v>16823.310000000001</v>
      </c>
      <c r="D51" s="56">
        <f>+C51/C$12</f>
        <v>0.16722675533537099</v>
      </c>
      <c r="E51" s="1"/>
      <c r="F51" s="149" t="s">
        <v>83</v>
      </c>
      <c r="G51" s="149" t="s">
        <v>104</v>
      </c>
      <c r="H51" s="149" t="s">
        <v>105</v>
      </c>
      <c r="I51" s="149" t="s">
        <v>106</v>
      </c>
      <c r="J51" s="149" t="s">
        <v>107</v>
      </c>
      <c r="K51" s="149" t="s">
        <v>108</v>
      </c>
      <c r="L51" s="3"/>
    </row>
    <row r="52" spans="1:12">
      <c r="A52" s="32" t="s">
        <v>109</v>
      </c>
      <c r="B52" s="69"/>
      <c r="C52" s="157">
        <v>871.14</v>
      </c>
      <c r="D52" s="56">
        <f>+C52/C$12</f>
        <v>8.659289738039368E-3</v>
      </c>
      <c r="E52" s="1"/>
      <c r="F52" s="129" t="s">
        <v>89</v>
      </c>
      <c r="G52" s="131"/>
      <c r="H52" s="131"/>
      <c r="I52" s="131"/>
      <c r="J52" s="131"/>
      <c r="K52" s="130"/>
      <c r="L52" s="3"/>
    </row>
    <row r="53" spans="1:12">
      <c r="A53" s="32" t="s">
        <v>77</v>
      </c>
      <c r="B53" s="69"/>
      <c r="C53" s="157"/>
      <c r="D53" s="56">
        <f>+C53/C$12</f>
        <v>0</v>
      </c>
      <c r="E53" s="1"/>
      <c r="F53" s="129" t="s">
        <v>90</v>
      </c>
      <c r="G53" s="131"/>
      <c r="H53" s="131"/>
      <c r="I53" s="131"/>
      <c r="J53" s="131"/>
      <c r="K53" s="131"/>
      <c r="L53" s="3"/>
    </row>
    <row r="54" spans="1:12" ht="15.75" thickBot="1">
      <c r="A54" s="158" t="s">
        <v>54</v>
      </c>
      <c r="B54" s="159"/>
      <c r="C54" s="160">
        <f>+C51+C52+C53</f>
        <v>17694.45</v>
      </c>
      <c r="D54" s="161">
        <f>+C54/C$12</f>
        <v>0.17588604507341035</v>
      </c>
      <c r="E54" s="1"/>
      <c r="F54" s="129" t="s">
        <v>92</v>
      </c>
      <c r="G54" s="131"/>
      <c r="H54" s="131"/>
      <c r="I54" s="131"/>
      <c r="J54" s="131"/>
      <c r="K54" s="130"/>
      <c r="L54" s="3"/>
    </row>
    <row r="55" spans="1:12" ht="16.5" thickBot="1">
      <c r="A55" s="32" t="s">
        <v>110</v>
      </c>
      <c r="B55" s="69"/>
      <c r="C55" s="162"/>
      <c r="D55" s="56">
        <f>+C55/C12</f>
        <v>0</v>
      </c>
      <c r="E55" s="1"/>
      <c r="F55" s="129" t="s">
        <v>94</v>
      </c>
      <c r="G55" s="135">
        <f>G52+G53-G54</f>
        <v>0</v>
      </c>
      <c r="H55" s="135">
        <f>H52+H53-H54</f>
        <v>0</v>
      </c>
      <c r="I55" s="135">
        <f>I52+I53-I54</f>
        <v>0</v>
      </c>
      <c r="J55" s="135">
        <f>J52+J53-J54</f>
        <v>0</v>
      </c>
      <c r="K55" s="135">
        <f>K52+K53-K54</f>
        <v>0</v>
      </c>
      <c r="L55" s="3"/>
    </row>
    <row r="56" spans="1:12" ht="15.75" thickBot="1">
      <c r="A56" s="163" t="s">
        <v>111</v>
      </c>
      <c r="B56" s="164"/>
      <c r="C56" s="165">
        <f>+C12-((C12*6.85%)+C54+C55)</f>
        <v>76016.11224568967</v>
      </c>
      <c r="D56" s="50">
        <f>+C56/C12</f>
        <v>0.75561395492658967</v>
      </c>
      <c r="E56" s="1"/>
      <c r="F56" s="129" t="s">
        <v>96</v>
      </c>
      <c r="G56" s="140"/>
      <c r="H56" s="140"/>
      <c r="I56" s="140"/>
      <c r="J56" s="140"/>
      <c r="K56" s="140"/>
      <c r="L56" s="3"/>
    </row>
    <row r="57" spans="1:12" ht="15.75" thickBot="1">
      <c r="A57" s="19" t="s">
        <v>112</v>
      </c>
      <c r="B57" s="155"/>
      <c r="C57" s="155"/>
      <c r="D57" s="166"/>
      <c r="E57" s="1"/>
      <c r="F57" s="143" t="s">
        <v>97</v>
      </c>
      <c r="G57" s="144">
        <f>G56+G59-G55-G60</f>
        <v>0</v>
      </c>
      <c r="H57" s="144">
        <f>H56+H59-H55-H60</f>
        <v>0</v>
      </c>
      <c r="I57" s="144">
        <f>I56+I59-I55-I60</f>
        <v>0</v>
      </c>
      <c r="J57" s="144">
        <f>J56+J59-J55-J60</f>
        <v>0</v>
      </c>
      <c r="K57" s="144">
        <f>K56+K59-K55-K60</f>
        <v>0</v>
      </c>
      <c r="L57" s="3"/>
    </row>
    <row r="58" spans="1:12">
      <c r="A58" s="167" t="s">
        <v>113</v>
      </c>
      <c r="B58" s="168"/>
      <c r="C58" s="169">
        <v>17622.32</v>
      </c>
      <c r="D58" s="170">
        <f>+C58/$C$12</f>
        <v>0.17516905977965186</v>
      </c>
      <c r="E58" s="1"/>
      <c r="F58" s="129" t="s">
        <v>99</v>
      </c>
      <c r="G58" s="147">
        <f>+G57*I18</f>
        <v>0</v>
      </c>
      <c r="H58" s="147">
        <f>+H57*I13</f>
        <v>0</v>
      </c>
      <c r="I58" s="147">
        <f>+I57*I15</f>
        <v>0</v>
      </c>
      <c r="J58" s="147">
        <f>+J57*I11</f>
        <v>0</v>
      </c>
      <c r="K58" s="147">
        <f>+K57*I12</f>
        <v>0</v>
      </c>
      <c r="L58" s="3"/>
    </row>
    <row r="59" spans="1:12">
      <c r="A59" s="171" t="s">
        <v>114</v>
      </c>
      <c r="B59" s="172"/>
      <c r="C59" s="173">
        <v>6138.44</v>
      </c>
      <c r="D59" s="174">
        <f t="shared" ref="D59:D64" si="4">+C59/$C$12</f>
        <v>6.101720791097915E-2</v>
      </c>
      <c r="E59" s="1"/>
      <c r="F59" s="149" t="s">
        <v>75</v>
      </c>
      <c r="G59" s="150"/>
      <c r="H59" s="150"/>
      <c r="I59" s="150"/>
      <c r="J59" s="150"/>
      <c r="K59" s="150"/>
      <c r="L59" s="3"/>
    </row>
    <row r="60" spans="1:12">
      <c r="A60" s="171" t="s">
        <v>115</v>
      </c>
      <c r="B60" s="172"/>
      <c r="C60" s="173">
        <v>15091.29</v>
      </c>
      <c r="D60" s="174">
        <f t="shared" si="4"/>
        <v>0.15001016212179</v>
      </c>
      <c r="E60" s="1"/>
      <c r="F60" s="149" t="s">
        <v>101</v>
      </c>
      <c r="G60" s="154"/>
      <c r="H60" s="154"/>
      <c r="I60" s="154"/>
      <c r="J60" s="154"/>
      <c r="K60" s="154"/>
      <c r="L60" s="3"/>
    </row>
    <row r="61" spans="1:12">
      <c r="A61" s="171" t="s">
        <v>116</v>
      </c>
      <c r="B61" s="172"/>
      <c r="C61" s="173">
        <v>9887.99</v>
      </c>
      <c r="D61" s="174">
        <f t="shared" si="4"/>
        <v>9.8288415566769857E-2</v>
      </c>
      <c r="E61" s="1"/>
      <c r="F61" s="175" t="s">
        <v>117</v>
      </c>
      <c r="G61" s="176"/>
      <c r="H61" s="176"/>
      <c r="I61" s="176"/>
      <c r="J61" s="176"/>
      <c r="K61" s="176"/>
      <c r="L61" s="3"/>
    </row>
    <row r="62" spans="1:12">
      <c r="A62" s="171" t="s">
        <v>118</v>
      </c>
      <c r="B62" s="172"/>
      <c r="C62" s="173">
        <v>13057.81</v>
      </c>
      <c r="D62" s="174">
        <f t="shared" si="4"/>
        <v>0.12979700178417686</v>
      </c>
      <c r="E62" s="1"/>
      <c r="F62" s="177" t="s">
        <v>119</v>
      </c>
      <c r="G62" s="178"/>
      <c r="H62" s="178"/>
      <c r="I62" s="178"/>
      <c r="J62" s="178"/>
      <c r="K62" s="178"/>
      <c r="L62" s="3"/>
    </row>
    <row r="63" spans="1:12">
      <c r="A63" s="171" t="s">
        <v>120</v>
      </c>
      <c r="B63" s="172"/>
      <c r="C63" s="173">
        <v>17837.93</v>
      </c>
      <c r="D63" s="174">
        <f t="shared" si="4"/>
        <v>0.17731226231933395</v>
      </c>
      <c r="E63" s="1"/>
      <c r="F63" s="179" t="s">
        <v>121</v>
      </c>
      <c r="G63" s="180"/>
      <c r="H63" s="181">
        <f t="shared" ref="H63:H80" si="5">+G63/$C$19</f>
        <v>0</v>
      </c>
      <c r="I63" s="182"/>
      <c r="J63" s="180"/>
      <c r="K63" s="181">
        <f t="shared" ref="K63:K80" si="6">+J63/$C$19</f>
        <v>0</v>
      </c>
      <c r="L63" s="3"/>
    </row>
    <row r="64" spans="1:12">
      <c r="A64" s="183" t="s">
        <v>122</v>
      </c>
      <c r="B64" s="184"/>
      <c r="C64" s="185">
        <v>20965.650000000001</v>
      </c>
      <c r="D64" s="186">
        <f t="shared" si="4"/>
        <v>0.20840236689432823</v>
      </c>
      <c r="E64" s="1"/>
      <c r="F64" s="179" t="s">
        <v>123</v>
      </c>
      <c r="G64" s="187"/>
      <c r="H64" s="181">
        <f t="shared" si="5"/>
        <v>0</v>
      </c>
      <c r="I64" s="179"/>
      <c r="J64" s="180"/>
      <c r="K64" s="181">
        <f t="shared" si="6"/>
        <v>0</v>
      </c>
      <c r="L64" s="3"/>
    </row>
    <row r="65" spans="1:12">
      <c r="A65" s="1"/>
      <c r="B65" s="188">
        <f>+C12</f>
        <v>100601.78448275864</v>
      </c>
      <c r="C65" s="189"/>
      <c r="D65" s="190">
        <f>SUM(D58:D64)</f>
        <v>0.99999647637702993</v>
      </c>
      <c r="E65" s="1"/>
      <c r="F65" s="179" t="s">
        <v>124</v>
      </c>
      <c r="G65" s="187"/>
      <c r="H65" s="181">
        <f t="shared" si="5"/>
        <v>0</v>
      </c>
      <c r="I65" s="179"/>
      <c r="J65" s="180"/>
      <c r="K65" s="181">
        <f t="shared" si="6"/>
        <v>0</v>
      </c>
      <c r="L65" s="3"/>
    </row>
    <row r="66" spans="1:12">
      <c r="A66" s="19" t="s">
        <v>125</v>
      </c>
      <c r="B66" s="155"/>
      <c r="C66" s="155"/>
      <c r="D66" s="166"/>
      <c r="E66" s="1"/>
      <c r="F66" s="179" t="s">
        <v>126</v>
      </c>
      <c r="G66" s="187"/>
      <c r="H66" s="181">
        <f t="shared" si="5"/>
        <v>0</v>
      </c>
      <c r="I66" s="179"/>
      <c r="J66" s="180"/>
      <c r="K66" s="181">
        <f t="shared" si="6"/>
        <v>0</v>
      </c>
      <c r="L66" s="3"/>
    </row>
    <row r="67" spans="1:12">
      <c r="A67" s="167" t="s">
        <v>113</v>
      </c>
      <c r="B67" s="168"/>
      <c r="C67" s="191">
        <v>210</v>
      </c>
      <c r="D67" s="170">
        <f>+C67/$C$19</f>
        <v>0.15463917525773196</v>
      </c>
      <c r="E67" s="1"/>
      <c r="F67" s="179" t="s">
        <v>127</v>
      </c>
      <c r="G67" s="187"/>
      <c r="H67" s="181">
        <f t="shared" si="5"/>
        <v>0</v>
      </c>
      <c r="I67" s="179"/>
      <c r="J67" s="180"/>
      <c r="K67" s="181">
        <f t="shared" si="6"/>
        <v>0</v>
      </c>
      <c r="L67" s="3"/>
    </row>
    <row r="68" spans="1:12">
      <c r="A68" s="171" t="s">
        <v>114</v>
      </c>
      <c r="B68" s="172"/>
      <c r="C68" s="192">
        <v>95</v>
      </c>
      <c r="D68" s="174">
        <f t="shared" ref="D68:D73" si="7">+C68/$C$19</f>
        <v>6.9955817378497792E-2</v>
      </c>
      <c r="E68" s="1"/>
      <c r="F68" s="179" t="s">
        <v>128</v>
      </c>
      <c r="G68" s="187"/>
      <c r="H68" s="181">
        <f t="shared" si="5"/>
        <v>0</v>
      </c>
      <c r="I68" s="179"/>
      <c r="J68" s="180"/>
      <c r="K68" s="181">
        <f t="shared" si="6"/>
        <v>0</v>
      </c>
      <c r="L68" s="3"/>
    </row>
    <row r="69" spans="1:12">
      <c r="A69" s="171" t="s">
        <v>115</v>
      </c>
      <c r="B69" s="172"/>
      <c r="C69" s="192">
        <v>265</v>
      </c>
      <c r="D69" s="174">
        <f t="shared" si="7"/>
        <v>0.195139911634757</v>
      </c>
      <c r="E69" s="1"/>
      <c r="F69" s="179" t="s">
        <v>129</v>
      </c>
      <c r="G69" s="187"/>
      <c r="H69" s="181">
        <f t="shared" si="5"/>
        <v>0</v>
      </c>
      <c r="I69" s="179"/>
      <c r="J69" s="180"/>
      <c r="K69" s="181">
        <f t="shared" si="6"/>
        <v>0</v>
      </c>
      <c r="L69" s="3"/>
    </row>
    <row r="70" spans="1:12">
      <c r="A70" s="171" t="s">
        <v>116</v>
      </c>
      <c r="B70" s="172"/>
      <c r="C70" s="192">
        <v>138</v>
      </c>
      <c r="D70" s="174">
        <f t="shared" si="7"/>
        <v>0.101620029455081</v>
      </c>
      <c r="E70" s="1"/>
      <c r="F70" s="179" t="s">
        <v>130</v>
      </c>
      <c r="G70" s="187"/>
      <c r="H70" s="181">
        <f t="shared" si="5"/>
        <v>0</v>
      </c>
      <c r="I70" s="193" t="s">
        <v>131</v>
      </c>
      <c r="J70" s="194"/>
      <c r="K70" s="195"/>
      <c r="L70" s="3"/>
    </row>
    <row r="71" spans="1:12">
      <c r="A71" s="171" t="s">
        <v>118</v>
      </c>
      <c r="B71" s="172"/>
      <c r="C71" s="192">
        <v>195</v>
      </c>
      <c r="D71" s="174">
        <f t="shared" si="7"/>
        <v>0.14359351988217967</v>
      </c>
      <c r="E71" s="1"/>
      <c r="F71" s="179" t="s">
        <v>132</v>
      </c>
      <c r="G71" s="180"/>
      <c r="H71" s="181">
        <f t="shared" si="5"/>
        <v>0</v>
      </c>
      <c r="I71" s="182" t="s">
        <v>133</v>
      </c>
      <c r="J71" s="187"/>
      <c r="K71" s="181">
        <f t="shared" si="6"/>
        <v>0</v>
      </c>
      <c r="L71" s="3"/>
    </row>
    <row r="72" spans="1:12">
      <c r="A72" s="171" t="s">
        <v>120</v>
      </c>
      <c r="B72" s="172"/>
      <c r="C72" s="192">
        <v>219</v>
      </c>
      <c r="D72" s="174">
        <f t="shared" si="7"/>
        <v>0.16126656848306334</v>
      </c>
      <c r="E72" s="1"/>
      <c r="F72" s="179" t="s">
        <v>134</v>
      </c>
      <c r="G72" s="180"/>
      <c r="H72" s="181">
        <f t="shared" si="5"/>
        <v>0</v>
      </c>
      <c r="I72" s="182"/>
      <c r="J72" s="187"/>
      <c r="K72" s="181">
        <f t="shared" si="6"/>
        <v>0</v>
      </c>
      <c r="L72" s="3"/>
    </row>
    <row r="73" spans="1:12">
      <c r="A73" s="183" t="s">
        <v>122</v>
      </c>
      <c r="B73" s="184"/>
      <c r="C73" s="196">
        <v>236</v>
      </c>
      <c r="D73" s="186">
        <f t="shared" si="7"/>
        <v>0.17378497790868924</v>
      </c>
      <c r="E73" s="1"/>
      <c r="F73" s="179" t="s">
        <v>135</v>
      </c>
      <c r="G73" s="180"/>
      <c r="H73" s="181">
        <f t="shared" si="5"/>
        <v>0</v>
      </c>
      <c r="I73" s="182"/>
      <c r="J73" s="187"/>
      <c r="K73" s="181">
        <f t="shared" si="6"/>
        <v>0</v>
      </c>
      <c r="L73" s="3"/>
    </row>
    <row r="74" spans="1:12">
      <c r="A74" s="19" t="s">
        <v>136</v>
      </c>
      <c r="B74" s="155"/>
      <c r="C74" s="155"/>
      <c r="D74" s="197"/>
      <c r="E74" s="1"/>
      <c r="F74" s="179" t="s">
        <v>137</v>
      </c>
      <c r="G74" s="180"/>
      <c r="H74" s="181">
        <f t="shared" si="5"/>
        <v>0</v>
      </c>
      <c r="I74" s="182"/>
      <c r="J74" s="187"/>
      <c r="K74" s="181">
        <f t="shared" si="6"/>
        <v>0</v>
      </c>
      <c r="L74" s="3"/>
    </row>
    <row r="75" spans="1:12">
      <c r="A75" s="167" t="s">
        <v>113</v>
      </c>
      <c r="B75" s="168"/>
      <c r="C75" s="169">
        <v>6517.64</v>
      </c>
      <c r="D75" s="170">
        <f>+C75/C58</f>
        <v>0.36985141570462915</v>
      </c>
      <c r="E75" s="1"/>
      <c r="F75" s="179" t="s">
        <v>138</v>
      </c>
      <c r="G75" s="180"/>
      <c r="H75" s="181">
        <f t="shared" si="5"/>
        <v>0</v>
      </c>
      <c r="I75" s="182"/>
      <c r="J75" s="187"/>
      <c r="K75" s="181">
        <f t="shared" si="6"/>
        <v>0</v>
      </c>
      <c r="L75" s="3"/>
    </row>
    <row r="76" spans="1:12">
      <c r="A76" s="171" t="s">
        <v>114</v>
      </c>
      <c r="B76" s="172"/>
      <c r="C76" s="173">
        <v>2196.16</v>
      </c>
      <c r="D76" s="174">
        <f t="shared" ref="D76:D81" si="8">+C76/C59</f>
        <v>0.35777168140439591</v>
      </c>
      <c r="E76" s="1"/>
      <c r="F76" s="179"/>
      <c r="G76" s="180"/>
      <c r="H76" s="181">
        <f t="shared" si="5"/>
        <v>0</v>
      </c>
      <c r="I76" s="179" t="s">
        <v>113</v>
      </c>
      <c r="J76" s="187"/>
      <c r="K76" s="181">
        <f t="shared" si="6"/>
        <v>0</v>
      </c>
      <c r="L76" s="3"/>
    </row>
    <row r="77" spans="1:12">
      <c r="A77" s="171" t="s">
        <v>115</v>
      </c>
      <c r="B77" s="172"/>
      <c r="C77" s="173">
        <v>7357.04</v>
      </c>
      <c r="D77" s="174">
        <f t="shared" si="8"/>
        <v>0.48750239376488025</v>
      </c>
      <c r="E77" s="1"/>
      <c r="F77" s="179"/>
      <c r="G77" s="180"/>
      <c r="H77" s="181">
        <f t="shared" si="5"/>
        <v>0</v>
      </c>
      <c r="I77" s="179" t="s">
        <v>114</v>
      </c>
      <c r="J77" s="187"/>
      <c r="K77" s="181">
        <f t="shared" si="6"/>
        <v>0</v>
      </c>
      <c r="L77" s="3"/>
    </row>
    <row r="78" spans="1:12">
      <c r="A78" s="171" t="s">
        <v>116</v>
      </c>
      <c r="B78" s="172"/>
      <c r="C78" s="173">
        <v>3683.98</v>
      </c>
      <c r="D78" s="174">
        <f t="shared" si="8"/>
        <v>0.3725711696714904</v>
      </c>
      <c r="E78" s="1"/>
      <c r="F78" s="179"/>
      <c r="G78" s="180"/>
      <c r="H78" s="181">
        <f t="shared" si="5"/>
        <v>0</v>
      </c>
      <c r="I78" s="179" t="s">
        <v>115</v>
      </c>
      <c r="J78" s="187"/>
      <c r="K78" s="181">
        <f t="shared" si="6"/>
        <v>0</v>
      </c>
      <c r="L78" s="3"/>
    </row>
    <row r="79" spans="1:12">
      <c r="A79" s="171" t="s">
        <v>118</v>
      </c>
      <c r="B79" s="172"/>
      <c r="C79" s="173">
        <v>4746.76</v>
      </c>
      <c r="D79" s="174">
        <f t="shared" si="8"/>
        <v>0.36351884427786896</v>
      </c>
      <c r="E79" s="198"/>
      <c r="F79" s="179"/>
      <c r="G79" s="180"/>
      <c r="H79" s="181">
        <f t="shared" si="5"/>
        <v>0</v>
      </c>
      <c r="I79" s="179" t="s">
        <v>139</v>
      </c>
      <c r="J79" s="187"/>
      <c r="K79" s="181">
        <f t="shared" si="6"/>
        <v>0</v>
      </c>
      <c r="L79" s="3"/>
    </row>
    <row r="80" spans="1:12">
      <c r="A80" s="171" t="s">
        <v>120</v>
      </c>
      <c r="B80" s="172"/>
      <c r="C80" s="173">
        <v>6341.26</v>
      </c>
      <c r="D80" s="174">
        <f t="shared" si="8"/>
        <v>0.35549304207382809</v>
      </c>
      <c r="E80" s="198"/>
      <c r="F80" s="179"/>
      <c r="G80" s="180"/>
      <c r="H80" s="181">
        <f t="shared" si="5"/>
        <v>0</v>
      </c>
      <c r="I80" s="179" t="s">
        <v>118</v>
      </c>
      <c r="J80" s="187"/>
      <c r="K80" s="181">
        <f t="shared" si="6"/>
        <v>0</v>
      </c>
      <c r="L80" s="3"/>
    </row>
    <row r="81" spans="1:12">
      <c r="A81" s="183" t="s">
        <v>122</v>
      </c>
      <c r="B81" s="184"/>
      <c r="C81" s="185">
        <v>7398.96</v>
      </c>
      <c r="D81" s="186">
        <f t="shared" si="8"/>
        <v>0.35290868635124595</v>
      </c>
      <c r="E81" s="198"/>
      <c r="F81" s="199" t="s">
        <v>140</v>
      </c>
      <c r="G81" s="200"/>
      <c r="H81" s="201"/>
      <c r="I81" s="202">
        <f>SUM(G63:G80,J63:J69)</f>
        <v>0</v>
      </c>
      <c r="J81" s="203">
        <f>+I81/C19</f>
        <v>0</v>
      </c>
      <c r="K81" s="204"/>
      <c r="L81" s="3"/>
    </row>
    <row r="82" spans="1:12">
      <c r="A82" s="205"/>
      <c r="B82" s="205"/>
      <c r="C82" s="206"/>
      <c r="D82" s="207"/>
      <c r="E82" s="208"/>
      <c r="F82" s="3"/>
      <c r="G82" s="3"/>
      <c r="H82" s="3"/>
      <c r="I82" s="3"/>
      <c r="J82" s="3"/>
      <c r="K82" s="3"/>
      <c r="L82" s="3"/>
    </row>
    <row r="83" spans="1:12">
      <c r="A83" s="205"/>
      <c r="B83" s="205"/>
      <c r="C83" s="206"/>
      <c r="D83" s="207"/>
      <c r="E83" s="208"/>
      <c r="F83" s="3"/>
      <c r="G83" s="3"/>
      <c r="H83" s="3"/>
      <c r="I83" s="3"/>
      <c r="J83" s="3"/>
      <c r="K83" s="3"/>
      <c r="L83" s="3"/>
    </row>
    <row r="84" spans="1:12">
      <c r="A84" s="205"/>
      <c r="B84" s="205"/>
      <c r="C84" s="206"/>
      <c r="D84" s="209"/>
      <c r="E84" s="208"/>
      <c r="F84" s="3"/>
      <c r="G84" s="3"/>
      <c r="H84" s="3"/>
      <c r="I84" s="3"/>
      <c r="J84" s="3"/>
      <c r="K84" s="3"/>
      <c r="L84" s="3"/>
    </row>
    <row r="85" spans="1:12">
      <c r="A85" s="210"/>
      <c r="B85" s="210"/>
      <c r="C85" s="211"/>
      <c r="D85" s="212"/>
      <c r="E85" s="208"/>
      <c r="F85" s="3"/>
      <c r="G85" s="3"/>
      <c r="H85" s="3"/>
      <c r="I85" s="3"/>
      <c r="J85" s="3"/>
      <c r="K85" s="3"/>
      <c r="L85" s="3"/>
    </row>
    <row r="86" spans="1:12">
      <c r="A86" s="213"/>
      <c r="B86" s="213"/>
      <c r="C86" s="213"/>
      <c r="D86" s="213"/>
      <c r="E86" s="208"/>
      <c r="F86" s="3"/>
      <c r="G86" s="3"/>
      <c r="H86" s="3"/>
      <c r="I86" s="3"/>
      <c r="J86" s="3"/>
      <c r="K86" s="3"/>
      <c r="L86" s="3"/>
    </row>
    <row r="87" spans="1:12">
      <c r="A87" s="214"/>
      <c r="B87" s="214"/>
      <c r="C87" s="215"/>
      <c r="D87" s="216"/>
      <c r="E87" s="208"/>
      <c r="F87" s="3"/>
      <c r="G87" s="3"/>
      <c r="H87" s="3"/>
      <c r="I87" s="3"/>
      <c r="J87" s="3"/>
      <c r="K87" s="3"/>
      <c r="L87" s="3"/>
    </row>
    <row r="88" spans="1:12">
      <c r="A88" s="214"/>
      <c r="B88" s="214"/>
      <c r="C88" s="217"/>
      <c r="D88" s="218"/>
      <c r="E88" s="3"/>
      <c r="F88" s="3"/>
      <c r="G88" s="3"/>
      <c r="H88" s="3"/>
      <c r="I88" s="3"/>
      <c r="J88" s="3"/>
      <c r="K88" s="3"/>
      <c r="L88" s="3"/>
    </row>
    <row r="89" spans="1:1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3"/>
      <c r="B90" s="3"/>
      <c r="C90" s="3"/>
      <c r="D90" s="3"/>
      <c r="E90" s="3"/>
      <c r="F90" s="3"/>
      <c r="G90" s="3"/>
      <c r="H90" s="3"/>
      <c r="I90" s="3"/>
      <c r="J90" s="3"/>
      <c r="K90" s="219"/>
      <c r="L90" s="3"/>
    </row>
    <row r="91" spans="1:1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3"/>
      <c r="B103" s="3"/>
      <c r="C103" s="3"/>
      <c r="D103" s="3"/>
      <c r="E103" s="3"/>
      <c r="F103" s="3"/>
      <c r="G103" s="3"/>
      <c r="H103" s="220"/>
      <c r="I103" s="3"/>
      <c r="J103" s="3"/>
      <c r="K103" s="3"/>
      <c r="L103" s="3"/>
    </row>
  </sheetData>
  <customSheetViews>
    <customSheetView guid="{2443864E-3EC0-42CB-9BCC-E86B96EC82D4}">
      <selection sqref="A1:L103"/>
      <pageMargins left="0.7" right="0.7" top="0.75" bottom="0.75" header="0.3" footer="0.3"/>
    </customSheetView>
  </customSheetViews>
  <mergeCells count="49">
    <mergeCell ref="F81:H81"/>
    <mergeCell ref="A57:D57"/>
    <mergeCell ref="F61:K61"/>
    <mergeCell ref="F62:K62"/>
    <mergeCell ref="A66:D66"/>
    <mergeCell ref="I70:K70"/>
    <mergeCell ref="A74:D74"/>
    <mergeCell ref="A51:B51"/>
    <mergeCell ref="A52:B52"/>
    <mergeCell ref="A53:B53"/>
    <mergeCell ref="A54:B54"/>
    <mergeCell ref="A55:B55"/>
    <mergeCell ref="A56:B56"/>
    <mergeCell ref="A46:B46"/>
    <mergeCell ref="A47:B47"/>
    <mergeCell ref="A48:B48"/>
    <mergeCell ref="A49:B49"/>
    <mergeCell ref="A50:D50"/>
    <mergeCell ref="F50:K50"/>
    <mergeCell ref="A27:B27"/>
    <mergeCell ref="F28:K28"/>
    <mergeCell ref="F39:K39"/>
    <mergeCell ref="A43:B43"/>
    <mergeCell ref="A44:B44"/>
    <mergeCell ref="A45:B45"/>
    <mergeCell ref="A19:B19"/>
    <mergeCell ref="A20:B20"/>
    <mergeCell ref="A21:B21"/>
    <mergeCell ref="A22:B22"/>
    <mergeCell ref="A23:B23"/>
    <mergeCell ref="A26:D2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B1:J1"/>
    <mergeCell ref="G2:H2"/>
    <mergeCell ref="G3:H3"/>
    <mergeCell ref="G4:H4"/>
    <mergeCell ref="A6:B6"/>
    <mergeCell ref="F6:K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03"/>
  <sheetViews>
    <sheetView workbookViewId="0">
      <selection sqref="A1:L103"/>
    </sheetView>
  </sheetViews>
  <sheetFormatPr baseColWidth="10" defaultRowHeight="15"/>
  <sheetData>
    <row r="1" spans="1:12" ht="22.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1"/>
      <c r="L1" s="3"/>
    </row>
    <row r="2" spans="1:12" ht="16.5">
      <c r="A2" s="4"/>
      <c r="B2" s="3"/>
      <c r="C2" s="5"/>
      <c r="D2" s="5"/>
      <c r="E2" s="5"/>
      <c r="F2" s="5" t="s">
        <v>2</v>
      </c>
      <c r="G2" s="6"/>
      <c r="H2" s="6"/>
      <c r="I2" s="5"/>
      <c r="J2" s="5"/>
      <c r="K2" s="4"/>
      <c r="L2" s="3"/>
    </row>
    <row r="3" spans="1:12">
      <c r="A3" s="7" t="s">
        <v>3</v>
      </c>
      <c r="B3" s="8"/>
      <c r="C3" s="9"/>
      <c r="D3" s="10"/>
      <c r="E3" s="10"/>
      <c r="F3" s="11" t="s">
        <v>4</v>
      </c>
      <c r="G3" s="12"/>
      <c r="H3" s="12"/>
      <c r="I3" s="13"/>
      <c r="J3" s="14"/>
      <c r="K3" s="14"/>
      <c r="L3" s="3"/>
    </row>
    <row r="4" spans="1:12">
      <c r="A4" s="7" t="s">
        <v>5</v>
      </c>
      <c r="B4" s="8"/>
      <c r="C4" s="9"/>
      <c r="D4" s="10"/>
      <c r="E4" s="10"/>
      <c r="F4" s="11" t="s">
        <v>6</v>
      </c>
      <c r="G4" s="15"/>
      <c r="H4" s="15"/>
      <c r="I4" s="13"/>
      <c r="J4" s="11" t="s">
        <v>7</v>
      </c>
      <c r="K4" s="16"/>
      <c r="L4" s="3"/>
    </row>
    <row r="5" spans="1:12" ht="15.75" thickBot="1">
      <c r="A5" s="17"/>
      <c r="B5" s="17"/>
      <c r="C5" s="17"/>
      <c r="D5" s="17"/>
      <c r="E5" s="17"/>
      <c r="F5" s="17"/>
      <c r="G5" s="17"/>
      <c r="H5" s="17"/>
      <c r="I5" s="18"/>
      <c r="J5" s="17"/>
      <c r="K5" s="17"/>
      <c r="L5" s="3"/>
    </row>
    <row r="6" spans="1:12">
      <c r="A6" s="19" t="s">
        <v>8</v>
      </c>
      <c r="B6" s="20"/>
      <c r="C6" s="21" t="s">
        <v>9</v>
      </c>
      <c r="D6" s="21" t="s">
        <v>10</v>
      </c>
      <c r="E6" s="1"/>
      <c r="F6" s="22" t="s">
        <v>11</v>
      </c>
      <c r="G6" s="23"/>
      <c r="H6" s="23"/>
      <c r="I6" s="23"/>
      <c r="J6" s="23"/>
      <c r="K6" s="24"/>
      <c r="L6" s="3"/>
    </row>
    <row r="7" spans="1:12">
      <c r="A7" s="25" t="s">
        <v>12</v>
      </c>
      <c r="B7" s="26"/>
      <c r="C7" s="27">
        <v>34046.54</v>
      </c>
      <c r="D7" s="28"/>
      <c r="E7" s="1"/>
      <c r="F7" s="29" t="s">
        <v>13</v>
      </c>
      <c r="G7" s="30" t="s">
        <v>14</v>
      </c>
      <c r="H7" s="30" t="s">
        <v>15</v>
      </c>
      <c r="I7" s="30" t="s">
        <v>16</v>
      </c>
      <c r="J7" s="30" t="s">
        <v>17</v>
      </c>
      <c r="K7" s="31"/>
      <c r="L7" s="3"/>
    </row>
    <row r="8" spans="1:12" ht="15.75">
      <c r="A8" s="32" t="s">
        <v>18</v>
      </c>
      <c r="B8" s="33"/>
      <c r="C8" s="34"/>
      <c r="D8" s="35">
        <f>+C8/C7</f>
        <v>0</v>
      </c>
      <c r="E8" s="1"/>
      <c r="F8" s="36" t="s">
        <v>19</v>
      </c>
      <c r="G8" s="37">
        <v>437</v>
      </c>
      <c r="H8" s="38">
        <v>14311.68</v>
      </c>
      <c r="I8" s="39">
        <f t="shared" ref="I8:I25" si="0">IF(G8&gt;0,(H8/G8),0)</f>
        <v>32.749839816933637</v>
      </c>
      <c r="J8" s="40">
        <f>+H8/$C$12</f>
        <v>0.4876133903768195</v>
      </c>
      <c r="K8" s="41"/>
      <c r="L8" s="42"/>
    </row>
    <row r="9" spans="1:12" ht="15.75">
      <c r="A9" s="32" t="s">
        <v>20</v>
      </c>
      <c r="B9" s="33"/>
      <c r="C9" s="43">
        <f>((C7/1.16)-C7)*-1</f>
        <v>4696.0744827586204</v>
      </c>
      <c r="D9" s="35"/>
      <c r="E9" s="1"/>
      <c r="F9" s="36" t="s">
        <v>21</v>
      </c>
      <c r="G9" s="37">
        <v>29</v>
      </c>
      <c r="H9" s="44">
        <v>1267.29</v>
      </c>
      <c r="I9" s="39">
        <f t="shared" si="0"/>
        <v>43.699655172413792</v>
      </c>
      <c r="J9" s="40">
        <f t="shared" ref="J9:J25" si="1">+H9/$C$12</f>
        <v>4.3177850084032028E-2</v>
      </c>
      <c r="K9" s="41"/>
      <c r="L9" s="42"/>
    </row>
    <row r="10" spans="1:12" ht="15.75">
      <c r="A10" s="32" t="s">
        <v>22</v>
      </c>
      <c r="B10" s="33"/>
      <c r="C10" s="45">
        <f>+C7-C11</f>
        <v>30929.14</v>
      </c>
      <c r="D10" s="46">
        <f>+C10/C7</f>
        <v>0.90843709816034168</v>
      </c>
      <c r="E10" s="1"/>
      <c r="F10" s="36" t="s">
        <v>23</v>
      </c>
      <c r="G10" s="37">
        <v>35</v>
      </c>
      <c r="H10" s="44">
        <v>1499.09</v>
      </c>
      <c r="I10" s="39">
        <f t="shared" si="0"/>
        <v>42.831142857142858</v>
      </c>
      <c r="J10" s="40">
        <f t="shared" si="1"/>
        <v>5.1075510169315289E-2</v>
      </c>
      <c r="K10" s="41"/>
      <c r="L10" s="42"/>
    </row>
    <row r="11" spans="1:12" ht="15.75">
      <c r="A11" s="47" t="s">
        <v>24</v>
      </c>
      <c r="B11" s="48"/>
      <c r="C11" s="49">
        <v>3117.4</v>
      </c>
      <c r="D11" s="50">
        <f>+C11/C7</f>
        <v>9.1562901839658303E-2</v>
      </c>
      <c r="E11" s="1"/>
      <c r="F11" s="36" t="s">
        <v>25</v>
      </c>
      <c r="G11" s="37">
        <v>87</v>
      </c>
      <c r="H11" s="44">
        <v>1841.48</v>
      </c>
      <c r="I11" s="39">
        <f t="shared" si="0"/>
        <v>21.166436781609196</v>
      </c>
      <c r="J11" s="40">
        <f t="shared" si="1"/>
        <v>6.2741083234889652E-2</v>
      </c>
      <c r="K11" s="41"/>
      <c r="L11" s="42"/>
    </row>
    <row r="12" spans="1:12" ht="15.75">
      <c r="A12" s="51" t="s">
        <v>26</v>
      </c>
      <c r="B12" s="52"/>
      <c r="C12" s="53">
        <f>+C7-C9-C8</f>
        <v>29350.46551724138</v>
      </c>
      <c r="D12" s="54">
        <v>1</v>
      </c>
      <c r="E12" s="1"/>
      <c r="F12" s="36" t="s">
        <v>27</v>
      </c>
      <c r="G12" s="37">
        <v>60</v>
      </c>
      <c r="H12" s="44">
        <v>1521.22</v>
      </c>
      <c r="I12" s="39">
        <f t="shared" si="0"/>
        <v>25.353666666666665</v>
      </c>
      <c r="J12" s="40">
        <f t="shared" si="1"/>
        <v>5.1829501617491822E-2</v>
      </c>
      <c r="K12" s="41"/>
      <c r="L12" s="42"/>
    </row>
    <row r="13" spans="1:12" ht="15.75">
      <c r="A13" s="32" t="s">
        <v>28</v>
      </c>
      <c r="B13" s="33"/>
      <c r="C13" s="55">
        <f>+H19+H21</f>
        <v>1586.33</v>
      </c>
      <c r="D13" s="56">
        <f>+C13/C$12</f>
        <v>5.4047865069402054E-2</v>
      </c>
      <c r="E13" s="1"/>
      <c r="F13" s="36" t="s">
        <v>29</v>
      </c>
      <c r="G13" s="37">
        <v>31</v>
      </c>
      <c r="H13" s="44">
        <v>1350.13</v>
      </c>
      <c r="I13" s="39">
        <f t="shared" si="0"/>
        <v>43.552580645161292</v>
      </c>
      <c r="J13" s="40">
        <f t="shared" si="1"/>
        <v>4.6000292540739826E-2</v>
      </c>
      <c r="K13" s="41"/>
      <c r="L13" s="42"/>
    </row>
    <row r="14" spans="1:12" ht="15.75">
      <c r="A14" s="32" t="s">
        <v>30</v>
      </c>
      <c r="B14" s="33"/>
      <c r="C14" s="57">
        <f>+C12-C13-C15</f>
        <v>25714.985517241381</v>
      </c>
      <c r="D14" s="56">
        <f>+C14/C$12</f>
        <v>0.87613552507831927</v>
      </c>
      <c r="E14" s="1"/>
      <c r="F14" s="36" t="s">
        <v>31</v>
      </c>
      <c r="G14" s="37">
        <v>8</v>
      </c>
      <c r="H14" s="44">
        <v>268.45999999999998</v>
      </c>
      <c r="I14" s="39">
        <f t="shared" si="0"/>
        <v>33.557499999999997</v>
      </c>
      <c r="J14" s="40">
        <f t="shared" si="1"/>
        <v>9.1467033067089924E-3</v>
      </c>
      <c r="K14" s="41"/>
      <c r="L14" s="42"/>
    </row>
    <row r="15" spans="1:12" ht="15.75">
      <c r="A15" s="32" t="s">
        <v>32</v>
      </c>
      <c r="B15" s="33"/>
      <c r="C15" s="55">
        <f>+H16</f>
        <v>2049.15</v>
      </c>
      <c r="D15" s="56">
        <f>+C15/C$12</f>
        <v>6.981660985227868E-2</v>
      </c>
      <c r="E15" s="1"/>
      <c r="F15" s="36" t="s">
        <v>33</v>
      </c>
      <c r="G15" s="37">
        <v>0</v>
      </c>
      <c r="H15" s="44">
        <v>0</v>
      </c>
      <c r="I15" s="39">
        <f t="shared" si="0"/>
        <v>0</v>
      </c>
      <c r="J15" s="40">
        <f t="shared" si="1"/>
        <v>0</v>
      </c>
      <c r="K15" s="41"/>
      <c r="L15" s="42"/>
    </row>
    <row r="16" spans="1:12" ht="15.75">
      <c r="A16" s="47" t="s">
        <v>34</v>
      </c>
      <c r="B16" s="48"/>
      <c r="C16" s="58"/>
      <c r="D16" s="59">
        <f>+C16/C$12</f>
        <v>0</v>
      </c>
      <c r="E16" s="1"/>
      <c r="F16" s="36" t="s">
        <v>35</v>
      </c>
      <c r="G16" s="37">
        <v>12</v>
      </c>
      <c r="H16" s="44">
        <v>2049.15</v>
      </c>
      <c r="I16" s="39">
        <f t="shared" si="0"/>
        <v>170.76250000000002</v>
      </c>
      <c r="J16" s="40">
        <f t="shared" si="1"/>
        <v>6.981660985227868E-2</v>
      </c>
      <c r="K16" s="41"/>
      <c r="L16" s="42"/>
    </row>
    <row r="17" spans="1:12" ht="15.75">
      <c r="A17" s="60" t="s">
        <v>36</v>
      </c>
      <c r="B17" s="61"/>
      <c r="C17" s="62">
        <v>21743</v>
      </c>
      <c r="D17" s="63">
        <f>((C$12-C17)/C17)</f>
        <v>0.3498811349510822</v>
      </c>
      <c r="E17" s="1"/>
      <c r="F17" s="36" t="s">
        <v>37</v>
      </c>
      <c r="G17" s="37">
        <v>57</v>
      </c>
      <c r="H17" s="44">
        <v>965.75</v>
      </c>
      <c r="I17" s="39">
        <f t="shared" si="0"/>
        <v>16.942982456140349</v>
      </c>
      <c r="J17" s="40">
        <f t="shared" si="1"/>
        <v>3.2904077771192017E-2</v>
      </c>
      <c r="K17" s="41"/>
      <c r="L17" s="42"/>
    </row>
    <row r="18" spans="1:12" ht="15.75">
      <c r="A18" s="47" t="s">
        <v>38</v>
      </c>
      <c r="B18" s="64"/>
      <c r="C18" s="65">
        <v>0</v>
      </c>
      <c r="D18" s="59" t="e">
        <f>((C$12-C18)/C18)</f>
        <v>#DIV/0!</v>
      </c>
      <c r="E18" s="1"/>
      <c r="F18" s="36" t="s">
        <v>39</v>
      </c>
      <c r="G18" s="37">
        <v>20</v>
      </c>
      <c r="H18" s="38">
        <v>573.29999999999995</v>
      </c>
      <c r="I18" s="39">
        <f t="shared" si="0"/>
        <v>28.664999999999999</v>
      </c>
      <c r="J18" s="40">
        <f t="shared" si="1"/>
        <v>1.9532909952083233E-2</v>
      </c>
      <c r="K18" s="41"/>
      <c r="L18" s="42"/>
    </row>
    <row r="19" spans="1:12" ht="15.75">
      <c r="A19" s="25" t="s">
        <v>40</v>
      </c>
      <c r="B19" s="26"/>
      <c r="C19" s="66">
        <v>492</v>
      </c>
      <c r="D19" s="28"/>
      <c r="E19" s="1"/>
      <c r="F19" s="36" t="s">
        <v>41</v>
      </c>
      <c r="G19" s="37">
        <v>21</v>
      </c>
      <c r="H19" s="44">
        <v>920.83</v>
      </c>
      <c r="I19" s="39">
        <f t="shared" si="0"/>
        <v>43.849047619047624</v>
      </c>
      <c r="J19" s="40">
        <f t="shared" si="1"/>
        <v>3.1373608008332124E-2</v>
      </c>
      <c r="K19" s="41"/>
      <c r="L19" s="42"/>
    </row>
    <row r="20" spans="1:12" ht="15.75">
      <c r="A20" s="32" t="s">
        <v>42</v>
      </c>
      <c r="B20" s="33"/>
      <c r="C20" s="67">
        <v>340</v>
      </c>
      <c r="D20" s="68">
        <f>((C$19-C20)/C20)</f>
        <v>0.44705882352941179</v>
      </c>
      <c r="E20" s="1"/>
      <c r="F20" s="36" t="s">
        <v>43</v>
      </c>
      <c r="G20" s="37">
        <v>8</v>
      </c>
      <c r="H20" s="44">
        <v>604.29</v>
      </c>
      <c r="I20" s="39">
        <f t="shared" si="0"/>
        <v>75.536249999999995</v>
      </c>
      <c r="J20" s="40">
        <f t="shared" si="1"/>
        <v>2.0588770547609242E-2</v>
      </c>
      <c r="K20" s="41"/>
      <c r="L20" s="42"/>
    </row>
    <row r="21" spans="1:12" ht="15.75">
      <c r="A21" s="32" t="s">
        <v>44</v>
      </c>
      <c r="B21" s="33"/>
      <c r="C21" s="67">
        <v>0</v>
      </c>
      <c r="D21" s="68" t="e">
        <f>((C$19-C21)/C21)</f>
        <v>#DIV/0!</v>
      </c>
      <c r="E21" s="1"/>
      <c r="F21" s="36" t="s">
        <v>45</v>
      </c>
      <c r="G21" s="37">
        <v>17</v>
      </c>
      <c r="H21" s="44">
        <v>665.5</v>
      </c>
      <c r="I21" s="39">
        <f t="shared" si="0"/>
        <v>39.147058823529413</v>
      </c>
      <c r="J21" s="40">
        <f t="shared" si="1"/>
        <v>2.2674257061069934E-2</v>
      </c>
      <c r="K21" s="41"/>
      <c r="L21" s="42"/>
    </row>
    <row r="22" spans="1:12" ht="15.75">
      <c r="A22" s="51" t="s">
        <v>46</v>
      </c>
      <c r="B22" s="52"/>
      <c r="C22" s="53">
        <f>+C12/C19</f>
        <v>59.655417717970288</v>
      </c>
      <c r="D22" s="68"/>
      <c r="E22" s="1"/>
      <c r="F22" s="36" t="s">
        <v>47</v>
      </c>
      <c r="G22" s="37">
        <v>41</v>
      </c>
      <c r="H22" s="44">
        <v>851.7</v>
      </c>
      <c r="I22" s="39">
        <f t="shared" si="0"/>
        <v>20.773170731707317</v>
      </c>
      <c r="J22" s="40">
        <f t="shared" si="1"/>
        <v>2.9018279096789279E-2</v>
      </c>
      <c r="K22" s="41"/>
      <c r="L22" s="42"/>
    </row>
    <row r="23" spans="1:12" ht="15.75">
      <c r="A23" s="32" t="s">
        <v>48</v>
      </c>
      <c r="B23" s="69"/>
      <c r="C23" s="70">
        <v>63</v>
      </c>
      <c r="D23" s="68">
        <f>((C$22-C23)/C23)</f>
        <v>-5.3088607651265274E-2</v>
      </c>
      <c r="E23" s="1"/>
      <c r="F23" s="36" t="s">
        <v>49</v>
      </c>
      <c r="G23" s="37">
        <v>0</v>
      </c>
      <c r="H23" s="44">
        <v>0</v>
      </c>
      <c r="I23" s="39">
        <f t="shared" si="0"/>
        <v>0</v>
      </c>
      <c r="J23" s="40">
        <f t="shared" si="1"/>
        <v>0</v>
      </c>
      <c r="K23" s="41"/>
      <c r="L23" s="42"/>
    </row>
    <row r="24" spans="1:12" ht="15.75">
      <c r="A24" s="71"/>
      <c r="B24" s="72"/>
      <c r="C24" s="73">
        <f>C22-C23</f>
        <v>-3.3445822820297124</v>
      </c>
      <c r="D24" s="68"/>
      <c r="E24" s="1"/>
      <c r="F24" s="36" t="s">
        <v>50</v>
      </c>
      <c r="G24" s="37">
        <v>170</v>
      </c>
      <c r="H24" s="44">
        <v>1115.71</v>
      </c>
      <c r="I24" s="39">
        <f t="shared" si="0"/>
        <v>6.5630000000000006</v>
      </c>
      <c r="J24" s="40">
        <f>+H24/$C$12</f>
        <v>3.8013366409626353E-2</v>
      </c>
      <c r="K24" s="41"/>
      <c r="L24" s="42"/>
    </row>
    <row r="25" spans="1:12" ht="15.75">
      <c r="A25" s="74" t="s">
        <v>51</v>
      </c>
      <c r="B25" s="75"/>
      <c r="C25" s="76">
        <f>+H32</f>
        <v>60</v>
      </c>
      <c r="D25" s="77">
        <f>((C$22-C25)/C25)</f>
        <v>-5.7430380338285405E-3</v>
      </c>
      <c r="E25" s="1" t="s">
        <v>52</v>
      </c>
      <c r="F25" s="36" t="s">
        <v>53</v>
      </c>
      <c r="G25" s="78">
        <v>32</v>
      </c>
      <c r="H25" s="44">
        <v>0</v>
      </c>
      <c r="I25" s="39">
        <f t="shared" si="0"/>
        <v>0</v>
      </c>
      <c r="J25" s="40">
        <f t="shared" si="1"/>
        <v>0</v>
      </c>
      <c r="K25" s="41"/>
      <c r="L25" s="42"/>
    </row>
    <row r="26" spans="1:12" ht="16.5" thickBot="1">
      <c r="A26" s="79" t="s">
        <v>54</v>
      </c>
      <c r="B26" s="80"/>
      <c r="C26" s="80"/>
      <c r="D26" s="81"/>
      <c r="E26" s="1"/>
      <c r="F26" s="82" t="s">
        <v>55</v>
      </c>
      <c r="G26" s="83">
        <v>64</v>
      </c>
      <c r="H26" s="84">
        <v>1351.68</v>
      </c>
      <c r="I26" s="85">
        <f>IF(G26&gt;0,(H26/G26),0)</f>
        <v>21.12</v>
      </c>
      <c r="J26" s="86">
        <f>+H26/$C$12</f>
        <v>4.6053102606021051E-2</v>
      </c>
      <c r="K26" s="87"/>
      <c r="L26" s="42"/>
    </row>
    <row r="27" spans="1:12" ht="15.75" thickBot="1">
      <c r="A27" s="88" t="s">
        <v>56</v>
      </c>
      <c r="B27" s="89"/>
      <c r="C27" s="90"/>
      <c r="D27" s="91"/>
      <c r="E27" s="1"/>
      <c r="F27" s="92" t="s">
        <v>57</v>
      </c>
      <c r="G27" s="93">
        <f>SUM(G8:G26)</f>
        <v>1129</v>
      </c>
      <c r="H27" s="94">
        <f>SUM(H8:H26)</f>
        <v>31157.260000000006</v>
      </c>
      <c r="I27" s="95">
        <f>+H27/G27</f>
        <v>27.597218777679366</v>
      </c>
      <c r="J27" s="96">
        <f>SUM(J8:J26)</f>
        <v>1.0615593126349989</v>
      </c>
      <c r="K27" s="97"/>
      <c r="L27" s="3"/>
    </row>
    <row r="28" spans="1:12" ht="15.75" thickBot="1">
      <c r="A28" s="98" t="s">
        <v>58</v>
      </c>
      <c r="B28" s="99"/>
      <c r="C28" s="90">
        <v>8000.8</v>
      </c>
      <c r="D28" s="100"/>
      <c r="E28" s="1"/>
      <c r="F28" s="22" t="s">
        <v>59</v>
      </c>
      <c r="G28" s="23"/>
      <c r="H28" s="23"/>
      <c r="I28" s="23"/>
      <c r="J28" s="23"/>
      <c r="K28" s="24"/>
      <c r="L28" s="3"/>
    </row>
    <row r="29" spans="1:12">
      <c r="A29" s="98" t="s">
        <v>60</v>
      </c>
      <c r="B29" s="99"/>
      <c r="C29" s="101">
        <v>35.93</v>
      </c>
      <c r="D29" s="102"/>
      <c r="E29" s="1"/>
      <c r="F29" s="29"/>
      <c r="G29" s="30" t="s">
        <v>61</v>
      </c>
      <c r="H29" s="30" t="s">
        <v>62</v>
      </c>
      <c r="I29" s="30"/>
      <c r="J29" s="30" t="s">
        <v>63</v>
      </c>
      <c r="K29" s="30" t="s">
        <v>64</v>
      </c>
      <c r="L29" s="3"/>
    </row>
    <row r="30" spans="1:12" ht="15.75">
      <c r="A30" s="98" t="s">
        <v>60</v>
      </c>
      <c r="B30" s="99"/>
      <c r="C30" s="101"/>
      <c r="D30" s="102"/>
      <c r="E30" s="1"/>
      <c r="F30" s="103" t="s">
        <v>65</v>
      </c>
      <c r="G30" s="104">
        <f>+C12</f>
        <v>29350.46551724138</v>
      </c>
      <c r="H30" s="105">
        <v>100789.95</v>
      </c>
      <c r="I30" s="106" t="s">
        <v>66</v>
      </c>
      <c r="J30" s="107">
        <f t="shared" ref="J30:J37" si="2">((G30-H30)/H30)</f>
        <v>-0.70879571309201583</v>
      </c>
      <c r="K30" s="108">
        <f t="shared" ref="K30:K37" si="3">+G30-H30</f>
        <v>-71439.48448275862</v>
      </c>
      <c r="L30" s="3"/>
    </row>
    <row r="31" spans="1:12" ht="15.75">
      <c r="A31" s="98" t="s">
        <v>60</v>
      </c>
      <c r="B31" s="99"/>
      <c r="C31" s="101"/>
      <c r="D31" s="102"/>
      <c r="E31" s="1"/>
      <c r="F31" s="103" t="s">
        <v>67</v>
      </c>
      <c r="G31" s="109">
        <f>+C19</f>
        <v>492</v>
      </c>
      <c r="H31" s="110">
        <f>+(C21*5%)+C21</f>
        <v>0</v>
      </c>
      <c r="I31" s="111" t="s">
        <v>68</v>
      </c>
      <c r="J31" s="107" t="e">
        <f t="shared" si="2"/>
        <v>#DIV/0!</v>
      </c>
      <c r="K31" s="112">
        <f t="shared" si="3"/>
        <v>492</v>
      </c>
      <c r="L31" s="3"/>
    </row>
    <row r="32" spans="1:12" ht="15.75">
      <c r="A32" s="98" t="s">
        <v>60</v>
      </c>
      <c r="B32" s="99"/>
      <c r="C32" s="101"/>
      <c r="D32" s="102"/>
      <c r="E32" s="1"/>
      <c r="F32" s="103" t="s">
        <v>46</v>
      </c>
      <c r="G32" s="104">
        <f>+C22</f>
        <v>59.655417717970288</v>
      </c>
      <c r="H32" s="104">
        <v>60</v>
      </c>
      <c r="I32" s="113" t="s">
        <v>66</v>
      </c>
      <c r="J32" s="107">
        <f t="shared" si="2"/>
        <v>-5.7430380338285405E-3</v>
      </c>
      <c r="K32" s="108">
        <f t="shared" si="3"/>
        <v>-0.34458228202971242</v>
      </c>
      <c r="L32" s="3"/>
    </row>
    <row r="33" spans="1:12" ht="15.75">
      <c r="A33" s="71" t="s">
        <v>69</v>
      </c>
      <c r="B33" s="99"/>
      <c r="C33" s="101"/>
      <c r="D33" s="102"/>
      <c r="E33" s="1"/>
      <c r="F33" s="103" t="s">
        <v>70</v>
      </c>
      <c r="G33" s="104">
        <f>+H16</f>
        <v>2049.15</v>
      </c>
      <c r="H33" s="104">
        <f>+G30*10%</f>
        <v>2935.0465517241382</v>
      </c>
      <c r="I33" s="114" t="s">
        <v>71</v>
      </c>
      <c r="J33" s="107">
        <f t="shared" si="2"/>
        <v>-0.30183390147721328</v>
      </c>
      <c r="K33" s="108">
        <f t="shared" si="3"/>
        <v>-885.89655172413813</v>
      </c>
      <c r="L33" s="3"/>
    </row>
    <row r="34" spans="1:12" ht="15.75">
      <c r="A34" s="71" t="s">
        <v>72</v>
      </c>
      <c r="B34" s="99"/>
      <c r="C34" s="101"/>
      <c r="D34" s="102"/>
      <c r="E34" s="1"/>
      <c r="F34" s="103" t="s">
        <v>73</v>
      </c>
      <c r="G34" s="104">
        <f>+H24</f>
        <v>1115.71</v>
      </c>
      <c r="H34" s="104">
        <f>+G30*2%</f>
        <v>587.00931034482767</v>
      </c>
      <c r="I34" s="114" t="s">
        <v>74</v>
      </c>
      <c r="J34" s="107">
        <f t="shared" si="2"/>
        <v>0.9006683204813174</v>
      </c>
      <c r="K34" s="108">
        <f t="shared" si="3"/>
        <v>528.70068965517237</v>
      </c>
      <c r="L34" s="3"/>
    </row>
    <row r="35" spans="1:12" ht="15.75">
      <c r="A35" s="71" t="s">
        <v>72</v>
      </c>
      <c r="B35" s="115"/>
      <c r="C35" s="101"/>
      <c r="D35" s="102"/>
      <c r="E35" s="1"/>
      <c r="F35" s="103" t="s">
        <v>75</v>
      </c>
      <c r="G35" s="104">
        <f>+C52</f>
        <v>156.25</v>
      </c>
      <c r="H35" s="104">
        <f>+G30*0.2%</f>
        <v>58.700931034482764</v>
      </c>
      <c r="I35" s="116" t="s">
        <v>76</v>
      </c>
      <c r="J35" s="107">
        <f t="shared" si="2"/>
        <v>1.6617976452232734</v>
      </c>
      <c r="K35" s="108">
        <f t="shared" si="3"/>
        <v>97.549068965517236</v>
      </c>
      <c r="L35" s="3"/>
    </row>
    <row r="36" spans="1:12" ht="15.75">
      <c r="A36" s="71" t="s">
        <v>72</v>
      </c>
      <c r="B36" s="115"/>
      <c r="C36" s="101"/>
      <c r="D36" s="102"/>
      <c r="E36" s="1"/>
      <c r="F36" s="103" t="s">
        <v>77</v>
      </c>
      <c r="G36" s="104">
        <f>+C53</f>
        <v>0</v>
      </c>
      <c r="H36" s="104">
        <f>+G30*0.5%</f>
        <v>146.75232758620692</v>
      </c>
      <c r="I36" s="116" t="s">
        <v>78</v>
      </c>
      <c r="J36" s="107">
        <f t="shared" si="2"/>
        <v>-1</v>
      </c>
      <c r="K36" s="108">
        <f t="shared" si="3"/>
        <v>-146.75232758620692</v>
      </c>
      <c r="L36" s="3"/>
    </row>
    <row r="37" spans="1:12" ht="16.5" thickBot="1">
      <c r="A37" s="71" t="s">
        <v>72</v>
      </c>
      <c r="B37" s="99"/>
      <c r="C37" s="101"/>
      <c r="D37" s="102"/>
      <c r="E37" s="1"/>
      <c r="F37" s="103" t="s">
        <v>79</v>
      </c>
      <c r="G37" s="104">
        <f>+C45</f>
        <v>8036.7300000000005</v>
      </c>
      <c r="H37" s="104">
        <f>+C12*34%</f>
        <v>9979.1582758620698</v>
      </c>
      <c r="I37" s="117" t="s">
        <v>80</v>
      </c>
      <c r="J37" s="107">
        <f t="shared" si="2"/>
        <v>-0.19464850863829683</v>
      </c>
      <c r="K37" s="108">
        <f t="shared" si="3"/>
        <v>-1942.4282758620693</v>
      </c>
      <c r="L37" s="3"/>
    </row>
    <row r="38" spans="1:12" ht="15.75" thickBot="1">
      <c r="A38" s="71" t="s">
        <v>72</v>
      </c>
      <c r="B38" s="99"/>
      <c r="C38" s="101"/>
      <c r="D38" s="102"/>
      <c r="E38" s="1"/>
      <c r="F38" s="118"/>
      <c r="G38" s="119"/>
      <c r="H38" s="119"/>
      <c r="I38" s="119"/>
      <c r="J38" s="119"/>
      <c r="K38" s="120"/>
      <c r="L38" s="3"/>
    </row>
    <row r="39" spans="1:12" ht="15.75" thickBot="1">
      <c r="A39" s="121" t="s">
        <v>81</v>
      </c>
      <c r="B39" s="122"/>
      <c r="C39" s="101"/>
      <c r="D39" s="123"/>
      <c r="E39" s="1"/>
      <c r="F39" s="124" t="s">
        <v>82</v>
      </c>
      <c r="G39" s="125"/>
      <c r="H39" s="125"/>
      <c r="I39" s="125"/>
      <c r="J39" s="125"/>
      <c r="K39" s="126"/>
      <c r="L39" s="3"/>
    </row>
    <row r="40" spans="1:12">
      <c r="A40" s="121" t="s">
        <v>81</v>
      </c>
      <c r="B40" s="122"/>
      <c r="C40" s="101"/>
      <c r="D40" s="123"/>
      <c r="E40" s="1"/>
      <c r="F40" s="127" t="s">
        <v>83</v>
      </c>
      <c r="G40" s="127" t="s">
        <v>84</v>
      </c>
      <c r="H40" s="127" t="s">
        <v>85</v>
      </c>
      <c r="I40" s="127" t="s">
        <v>86</v>
      </c>
      <c r="J40" s="128" t="s">
        <v>87</v>
      </c>
      <c r="K40" s="127" t="s">
        <v>88</v>
      </c>
      <c r="L40" s="3"/>
    </row>
    <row r="41" spans="1:12">
      <c r="A41" s="121" t="s">
        <v>81</v>
      </c>
      <c r="B41" s="122"/>
      <c r="C41" s="101"/>
      <c r="D41" s="123"/>
      <c r="E41" s="1"/>
      <c r="F41" s="129" t="s">
        <v>89</v>
      </c>
      <c r="G41" s="130"/>
      <c r="H41" s="131"/>
      <c r="I41" s="131"/>
      <c r="J41" s="131"/>
      <c r="K41" s="130"/>
      <c r="L41" s="3"/>
    </row>
    <row r="42" spans="1:12">
      <c r="A42" s="121" t="s">
        <v>81</v>
      </c>
      <c r="B42" s="122"/>
      <c r="C42" s="101"/>
      <c r="D42" s="132"/>
      <c r="E42" s="1"/>
      <c r="F42" s="129" t="s">
        <v>90</v>
      </c>
      <c r="G42" s="131"/>
      <c r="H42" s="131"/>
      <c r="I42" s="131"/>
      <c r="J42" s="131"/>
      <c r="K42" s="131"/>
      <c r="L42" s="3"/>
    </row>
    <row r="43" spans="1:12" ht="15.75" thickBot="1">
      <c r="A43" s="60" t="s">
        <v>91</v>
      </c>
      <c r="B43" s="133"/>
      <c r="C43" s="134">
        <f>SUM(C28:C42)</f>
        <v>8036.7300000000005</v>
      </c>
      <c r="D43" s="63"/>
      <c r="E43" s="1"/>
      <c r="F43" s="129" t="s">
        <v>92</v>
      </c>
      <c r="G43" s="130"/>
      <c r="H43" s="131"/>
      <c r="I43" s="131"/>
      <c r="J43" s="131"/>
      <c r="K43" s="130"/>
      <c r="L43" s="3"/>
    </row>
    <row r="44" spans="1:12" ht="15.75" thickBot="1">
      <c r="A44" s="88" t="s">
        <v>93</v>
      </c>
      <c r="B44" s="89"/>
      <c r="C44" s="90"/>
      <c r="D44" s="56"/>
      <c r="E44" s="1"/>
      <c r="F44" s="129" t="s">
        <v>94</v>
      </c>
      <c r="G44" s="135">
        <f>G41+G42-G43</f>
        <v>0</v>
      </c>
      <c r="H44" s="135">
        <f>H41+H42-H43</f>
        <v>0</v>
      </c>
      <c r="I44" s="135">
        <f>I41+I42-I43</f>
        <v>0</v>
      </c>
      <c r="J44" s="135">
        <f>J41+J42-J43</f>
        <v>0</v>
      </c>
      <c r="K44" s="135">
        <f>K41+K42-K43</f>
        <v>0</v>
      </c>
      <c r="L44" s="3"/>
    </row>
    <row r="45" spans="1:12" ht="15.75" thickBot="1">
      <c r="A45" s="136" t="s">
        <v>95</v>
      </c>
      <c r="B45" s="137"/>
      <c r="C45" s="138">
        <f>+(C27+C43)-C44</f>
        <v>8036.7300000000005</v>
      </c>
      <c r="D45" s="139">
        <f>+C45/C$12</f>
        <v>0.27381950706297908</v>
      </c>
      <c r="E45" s="1"/>
      <c r="F45" s="129" t="s">
        <v>96</v>
      </c>
      <c r="G45" s="140"/>
      <c r="H45" s="140"/>
      <c r="I45" s="140"/>
      <c r="J45" s="140"/>
      <c r="K45" s="140"/>
      <c r="L45" s="3"/>
    </row>
    <row r="46" spans="1:12" ht="15.75" thickBot="1">
      <c r="A46" s="136"/>
      <c r="B46" s="137"/>
      <c r="C46" s="141"/>
      <c r="D46" s="142"/>
      <c r="E46" s="1"/>
      <c r="F46" s="143" t="s">
        <v>97</v>
      </c>
      <c r="G46" s="144">
        <f>G45+G48-G44-G49</f>
        <v>0</v>
      </c>
      <c r="H46" s="144">
        <f>H45+H48-H44-H49</f>
        <v>0</v>
      </c>
      <c r="I46" s="144">
        <f>I45+I48-I44-I49</f>
        <v>0</v>
      </c>
      <c r="J46" s="144">
        <f>J45+J48-J44-J49</f>
        <v>0</v>
      </c>
      <c r="K46" s="144">
        <f>K45+K48-K44-K49</f>
        <v>0</v>
      </c>
      <c r="L46" s="3"/>
    </row>
    <row r="47" spans="1:12">
      <c r="A47" s="32" t="s">
        <v>98</v>
      </c>
      <c r="B47" s="33"/>
      <c r="C47" s="145">
        <f>+C75+C76+C77+C78+C79+C80+C81</f>
        <v>10609.14</v>
      </c>
      <c r="D47" s="146">
        <f>+C47/C$12</f>
        <v>0.36146411353400371</v>
      </c>
      <c r="E47" s="1"/>
      <c r="F47" s="129" t="s">
        <v>99</v>
      </c>
      <c r="G47" s="147">
        <f>+G46*I10</f>
        <v>0</v>
      </c>
      <c r="H47" s="147">
        <f>+H46*$I$8</f>
        <v>0</v>
      </c>
      <c r="I47" s="147">
        <f>+I46*$I$8</f>
        <v>0</v>
      </c>
      <c r="J47" s="147">
        <f>+J46*$I$8</f>
        <v>0</v>
      </c>
      <c r="K47" s="147">
        <f>+K46*I16</f>
        <v>0</v>
      </c>
      <c r="L47" s="3"/>
    </row>
    <row r="48" spans="1:12">
      <c r="A48" s="47" t="s">
        <v>100</v>
      </c>
      <c r="B48" s="48"/>
      <c r="C48" s="148">
        <f>C45-C47</f>
        <v>-2572.4099999999989</v>
      </c>
      <c r="D48" s="59">
        <f>D45-D47</f>
        <v>-8.7644606471024622E-2</v>
      </c>
      <c r="E48" s="1"/>
      <c r="F48" s="149" t="s">
        <v>75</v>
      </c>
      <c r="G48" s="150"/>
      <c r="H48" s="150"/>
      <c r="I48" s="150"/>
      <c r="J48" s="150"/>
      <c r="K48" s="150"/>
      <c r="L48" s="3"/>
    </row>
    <row r="49" spans="1:12">
      <c r="A49" s="151"/>
      <c r="B49" s="151"/>
      <c r="C49" s="152"/>
      <c r="D49" s="153"/>
      <c r="E49" s="1"/>
      <c r="F49" s="149" t="s">
        <v>101</v>
      </c>
      <c r="G49" s="154"/>
      <c r="H49" s="154"/>
      <c r="I49" s="154"/>
      <c r="J49" s="154"/>
      <c r="K49" s="154"/>
      <c r="L49" s="3"/>
    </row>
    <row r="50" spans="1:12">
      <c r="A50" s="19" t="s">
        <v>102</v>
      </c>
      <c r="B50" s="155"/>
      <c r="C50" s="155"/>
      <c r="D50" s="20"/>
      <c r="E50" s="1"/>
      <c r="F50" s="19" t="s">
        <v>82</v>
      </c>
      <c r="G50" s="155"/>
      <c r="H50" s="155"/>
      <c r="I50" s="155"/>
      <c r="J50" s="155"/>
      <c r="K50" s="155"/>
      <c r="L50" s="3"/>
    </row>
    <row r="51" spans="1:12">
      <c r="A51" s="32" t="s">
        <v>103</v>
      </c>
      <c r="B51" s="69"/>
      <c r="C51" s="156">
        <f>(C45-C52-C53)</f>
        <v>7880.4800000000005</v>
      </c>
      <c r="D51" s="56">
        <f>+C51/C$12</f>
        <v>0.26849591177253257</v>
      </c>
      <c r="E51" s="1"/>
      <c r="F51" s="149" t="s">
        <v>83</v>
      </c>
      <c r="G51" s="149" t="s">
        <v>104</v>
      </c>
      <c r="H51" s="149" t="s">
        <v>105</v>
      </c>
      <c r="I51" s="149" t="s">
        <v>106</v>
      </c>
      <c r="J51" s="149" t="s">
        <v>107</v>
      </c>
      <c r="K51" s="149" t="s">
        <v>108</v>
      </c>
      <c r="L51" s="3"/>
    </row>
    <row r="52" spans="1:12">
      <c r="A52" s="32" t="s">
        <v>109</v>
      </c>
      <c r="B52" s="69"/>
      <c r="C52" s="157">
        <v>156.25</v>
      </c>
      <c r="D52" s="56">
        <f>+C52/C$12</f>
        <v>5.3235952904465474E-3</v>
      </c>
      <c r="E52" s="1"/>
      <c r="F52" s="129" t="s">
        <v>89</v>
      </c>
      <c r="G52" s="131"/>
      <c r="H52" s="131"/>
      <c r="I52" s="131"/>
      <c r="J52" s="131"/>
      <c r="K52" s="130"/>
      <c r="L52" s="3"/>
    </row>
    <row r="53" spans="1:12">
      <c r="A53" s="32" t="s">
        <v>77</v>
      </c>
      <c r="B53" s="69"/>
      <c r="C53" s="157"/>
      <c r="D53" s="56">
        <f>+C53/C$12</f>
        <v>0</v>
      </c>
      <c r="E53" s="1"/>
      <c r="F53" s="129" t="s">
        <v>90</v>
      </c>
      <c r="G53" s="131"/>
      <c r="H53" s="131"/>
      <c r="I53" s="131"/>
      <c r="J53" s="131"/>
      <c r="K53" s="131"/>
      <c r="L53" s="3"/>
    </row>
    <row r="54" spans="1:12" ht="15.75" thickBot="1">
      <c r="A54" s="158" t="s">
        <v>54</v>
      </c>
      <c r="B54" s="159"/>
      <c r="C54" s="160">
        <f>+C51+C52+C53</f>
        <v>8036.7300000000005</v>
      </c>
      <c r="D54" s="161">
        <f>+C54/C$12</f>
        <v>0.27381950706297908</v>
      </c>
      <c r="E54" s="1"/>
      <c r="F54" s="129" t="s">
        <v>92</v>
      </c>
      <c r="G54" s="131"/>
      <c r="H54" s="131"/>
      <c r="I54" s="131"/>
      <c r="J54" s="131"/>
      <c r="K54" s="130"/>
      <c r="L54" s="3"/>
    </row>
    <row r="55" spans="1:12" ht="16.5" thickBot="1">
      <c r="A55" s="32" t="s">
        <v>110</v>
      </c>
      <c r="B55" s="69"/>
      <c r="C55" s="162"/>
      <c r="D55" s="56">
        <f>+C55/C12</f>
        <v>0</v>
      </c>
      <c r="E55" s="1"/>
      <c r="F55" s="129" t="s">
        <v>94</v>
      </c>
      <c r="G55" s="135">
        <f>G52+G53-G54</f>
        <v>0</v>
      </c>
      <c r="H55" s="135">
        <f>H52+H53-H54</f>
        <v>0</v>
      </c>
      <c r="I55" s="135">
        <f>I52+I53-I54</f>
        <v>0</v>
      </c>
      <c r="J55" s="135">
        <f>J52+J53-J54</f>
        <v>0</v>
      </c>
      <c r="K55" s="135">
        <f>K52+K53-K54</f>
        <v>0</v>
      </c>
      <c r="L55" s="3"/>
    </row>
    <row r="56" spans="1:12" ht="15.75" thickBot="1">
      <c r="A56" s="163" t="s">
        <v>111</v>
      </c>
      <c r="B56" s="164"/>
      <c r="C56" s="165">
        <f>+C12-((C12*6.85%)+C54+C55)</f>
        <v>19303.228629310346</v>
      </c>
      <c r="D56" s="50">
        <f>+C56/C12</f>
        <v>0.65768049293702091</v>
      </c>
      <c r="E56" s="1"/>
      <c r="F56" s="129" t="s">
        <v>96</v>
      </c>
      <c r="G56" s="140"/>
      <c r="H56" s="140"/>
      <c r="I56" s="140"/>
      <c r="J56" s="140"/>
      <c r="K56" s="140"/>
      <c r="L56" s="3"/>
    </row>
    <row r="57" spans="1:12" ht="15.75" thickBot="1">
      <c r="A57" s="19" t="s">
        <v>112</v>
      </c>
      <c r="B57" s="155"/>
      <c r="C57" s="155"/>
      <c r="D57" s="166"/>
      <c r="E57" s="1"/>
      <c r="F57" s="143" t="s">
        <v>97</v>
      </c>
      <c r="G57" s="144">
        <f>G56+G59-G55-G60</f>
        <v>0</v>
      </c>
      <c r="H57" s="144">
        <f>H56+H59-H55-H60</f>
        <v>0</v>
      </c>
      <c r="I57" s="144">
        <f>I56+I59-I55-I60</f>
        <v>0</v>
      </c>
      <c r="J57" s="144">
        <f>J56+J59-J55-J60</f>
        <v>0</v>
      </c>
      <c r="K57" s="144">
        <f>K56+K59-K55-K60</f>
        <v>0</v>
      </c>
      <c r="L57" s="3"/>
    </row>
    <row r="58" spans="1:12">
      <c r="A58" s="167" t="s">
        <v>113</v>
      </c>
      <c r="B58" s="168"/>
      <c r="C58" s="169">
        <v>4466.7299999999996</v>
      </c>
      <c r="D58" s="170">
        <f>+C58/$C$12</f>
        <v>0.15218600186685635</v>
      </c>
      <c r="E58" s="1"/>
      <c r="F58" s="129" t="s">
        <v>99</v>
      </c>
      <c r="G58" s="147">
        <f>+G57*I18</f>
        <v>0</v>
      </c>
      <c r="H58" s="147">
        <f>+H57*I13</f>
        <v>0</v>
      </c>
      <c r="I58" s="147">
        <f>+I57*I15</f>
        <v>0</v>
      </c>
      <c r="J58" s="147">
        <f>+J57*I11</f>
        <v>0</v>
      </c>
      <c r="K58" s="147">
        <f>+K57*I12</f>
        <v>0</v>
      </c>
      <c r="L58" s="3"/>
    </row>
    <row r="59" spans="1:12">
      <c r="A59" s="171" t="s">
        <v>114</v>
      </c>
      <c r="B59" s="172"/>
      <c r="C59" s="173">
        <v>2739.71</v>
      </c>
      <c r="D59" s="174">
        <f t="shared" ref="D59:D64" si="4">+C59/$C$12</f>
        <v>9.3344686420411591E-2</v>
      </c>
      <c r="E59" s="1"/>
      <c r="F59" s="149" t="s">
        <v>75</v>
      </c>
      <c r="G59" s="150"/>
      <c r="H59" s="150"/>
      <c r="I59" s="150"/>
      <c r="J59" s="150"/>
      <c r="K59" s="150"/>
      <c r="L59" s="3"/>
    </row>
    <row r="60" spans="1:12">
      <c r="A60" s="171" t="s">
        <v>115</v>
      </c>
      <c r="B60" s="172"/>
      <c r="C60" s="173">
        <v>4151.71</v>
      </c>
      <c r="D60" s="174">
        <f t="shared" si="4"/>
        <v>0.14145295234111896</v>
      </c>
      <c r="E60" s="1"/>
      <c r="F60" s="149" t="s">
        <v>101</v>
      </c>
      <c r="G60" s="154"/>
      <c r="H60" s="154"/>
      <c r="I60" s="154"/>
      <c r="J60" s="154"/>
      <c r="K60" s="154"/>
      <c r="L60" s="3"/>
    </row>
    <row r="61" spans="1:12">
      <c r="A61" s="171" t="s">
        <v>116</v>
      </c>
      <c r="B61" s="172"/>
      <c r="C61" s="173">
        <v>3257.81</v>
      </c>
      <c r="D61" s="174">
        <f t="shared" si="4"/>
        <v>0.11099687662828586</v>
      </c>
      <c r="E61" s="1"/>
      <c r="F61" s="175" t="s">
        <v>117</v>
      </c>
      <c r="G61" s="176"/>
      <c r="H61" s="176"/>
      <c r="I61" s="176"/>
      <c r="J61" s="176"/>
      <c r="K61" s="176"/>
      <c r="L61" s="3"/>
    </row>
    <row r="62" spans="1:12">
      <c r="A62" s="171" t="s">
        <v>118</v>
      </c>
      <c r="B62" s="172"/>
      <c r="C62" s="173">
        <v>2537.27</v>
      </c>
      <c r="D62" s="174">
        <f t="shared" si="4"/>
        <v>8.6447351184584395E-2</v>
      </c>
      <c r="E62" s="1"/>
      <c r="F62" s="177" t="s">
        <v>119</v>
      </c>
      <c r="G62" s="178"/>
      <c r="H62" s="178"/>
      <c r="I62" s="178"/>
      <c r="J62" s="178"/>
      <c r="K62" s="178"/>
      <c r="L62" s="3"/>
    </row>
    <row r="63" spans="1:12">
      <c r="A63" s="171" t="s">
        <v>120</v>
      </c>
      <c r="B63" s="172"/>
      <c r="C63" s="173">
        <v>4855.5600000000004</v>
      </c>
      <c r="D63" s="174">
        <f t="shared" si="4"/>
        <v>0.16543383263027608</v>
      </c>
      <c r="E63" s="1"/>
      <c r="F63" s="179" t="s">
        <v>121</v>
      </c>
      <c r="G63" s="180"/>
      <c r="H63" s="181">
        <f t="shared" ref="H63:H80" si="5">+G63/$C$19</f>
        <v>0</v>
      </c>
      <c r="I63" s="182"/>
      <c r="J63" s="180"/>
      <c r="K63" s="181">
        <f t="shared" ref="K63:K80" si="6">+J63/$C$19</f>
        <v>0</v>
      </c>
      <c r="L63" s="3"/>
    </row>
    <row r="64" spans="1:12">
      <c r="A64" s="183" t="s">
        <v>122</v>
      </c>
      <c r="B64" s="184"/>
      <c r="C64" s="185">
        <v>7341.75</v>
      </c>
      <c r="D64" s="186">
        <f t="shared" si="4"/>
        <v>0.25014083663127001</v>
      </c>
      <c r="E64" s="1"/>
      <c r="F64" s="179" t="s">
        <v>123</v>
      </c>
      <c r="G64" s="187"/>
      <c r="H64" s="181">
        <f t="shared" si="5"/>
        <v>0</v>
      </c>
      <c r="I64" s="179"/>
      <c r="J64" s="180"/>
      <c r="K64" s="181">
        <f t="shared" si="6"/>
        <v>0</v>
      </c>
      <c r="L64" s="3"/>
    </row>
    <row r="65" spans="1:12">
      <c r="A65" s="1"/>
      <c r="B65" s="188">
        <f>+C12</f>
        <v>29350.46551724138</v>
      </c>
      <c r="C65" s="189"/>
      <c r="D65" s="190">
        <f>SUM(D58:D64)</f>
        <v>1.0000025377028032</v>
      </c>
      <c r="E65" s="1"/>
      <c r="F65" s="179" t="s">
        <v>124</v>
      </c>
      <c r="G65" s="187"/>
      <c r="H65" s="181">
        <f t="shared" si="5"/>
        <v>0</v>
      </c>
      <c r="I65" s="179"/>
      <c r="J65" s="180"/>
      <c r="K65" s="181">
        <f t="shared" si="6"/>
        <v>0</v>
      </c>
      <c r="L65" s="3"/>
    </row>
    <row r="66" spans="1:12">
      <c r="A66" s="19" t="s">
        <v>125</v>
      </c>
      <c r="B66" s="155"/>
      <c r="C66" s="155"/>
      <c r="D66" s="166"/>
      <c r="E66" s="1"/>
      <c r="F66" s="179" t="s">
        <v>126</v>
      </c>
      <c r="G66" s="187"/>
      <c r="H66" s="181">
        <f t="shared" si="5"/>
        <v>0</v>
      </c>
      <c r="I66" s="179"/>
      <c r="J66" s="180"/>
      <c r="K66" s="181">
        <f t="shared" si="6"/>
        <v>0</v>
      </c>
      <c r="L66" s="3"/>
    </row>
    <row r="67" spans="1:12">
      <c r="A67" s="167" t="s">
        <v>113</v>
      </c>
      <c r="B67" s="168"/>
      <c r="C67" s="191">
        <v>73</v>
      </c>
      <c r="D67" s="170">
        <f>+C67/$C$19</f>
        <v>0.1483739837398374</v>
      </c>
      <c r="E67" s="1"/>
      <c r="F67" s="179" t="s">
        <v>127</v>
      </c>
      <c r="G67" s="187"/>
      <c r="H67" s="181">
        <f t="shared" si="5"/>
        <v>0</v>
      </c>
      <c r="I67" s="179"/>
      <c r="J67" s="180"/>
      <c r="K67" s="181">
        <f t="shared" si="6"/>
        <v>0</v>
      </c>
      <c r="L67" s="3"/>
    </row>
    <row r="68" spans="1:12">
      <c r="A68" s="171" t="s">
        <v>114</v>
      </c>
      <c r="B68" s="172"/>
      <c r="C68" s="192">
        <v>39</v>
      </c>
      <c r="D68" s="174">
        <f t="shared" ref="D68:D73" si="7">+C68/$C$19</f>
        <v>7.926829268292683E-2</v>
      </c>
      <c r="E68" s="1"/>
      <c r="F68" s="179" t="s">
        <v>128</v>
      </c>
      <c r="G68" s="187"/>
      <c r="H68" s="181">
        <f t="shared" si="5"/>
        <v>0</v>
      </c>
      <c r="I68" s="179"/>
      <c r="J68" s="180"/>
      <c r="K68" s="181">
        <f t="shared" si="6"/>
        <v>0</v>
      </c>
      <c r="L68" s="3"/>
    </row>
    <row r="69" spans="1:12">
      <c r="A69" s="171" t="s">
        <v>115</v>
      </c>
      <c r="B69" s="172"/>
      <c r="C69" s="192">
        <v>78</v>
      </c>
      <c r="D69" s="174">
        <f t="shared" si="7"/>
        <v>0.15853658536585366</v>
      </c>
      <c r="E69" s="1"/>
      <c r="F69" s="179" t="s">
        <v>129</v>
      </c>
      <c r="G69" s="187"/>
      <c r="H69" s="181">
        <f t="shared" si="5"/>
        <v>0</v>
      </c>
      <c r="I69" s="179"/>
      <c r="J69" s="180"/>
      <c r="K69" s="181">
        <f t="shared" si="6"/>
        <v>0</v>
      </c>
      <c r="L69" s="3"/>
    </row>
    <row r="70" spans="1:12">
      <c r="A70" s="171" t="s">
        <v>116</v>
      </c>
      <c r="B70" s="172"/>
      <c r="C70" s="192">
        <v>50</v>
      </c>
      <c r="D70" s="174">
        <f t="shared" si="7"/>
        <v>0.1016260162601626</v>
      </c>
      <c r="E70" s="1"/>
      <c r="F70" s="179" t="s">
        <v>130</v>
      </c>
      <c r="G70" s="187"/>
      <c r="H70" s="181">
        <f t="shared" si="5"/>
        <v>0</v>
      </c>
      <c r="I70" s="193" t="s">
        <v>131</v>
      </c>
      <c r="J70" s="194"/>
      <c r="K70" s="195"/>
      <c r="L70" s="3"/>
    </row>
    <row r="71" spans="1:12">
      <c r="A71" s="171" t="s">
        <v>118</v>
      </c>
      <c r="B71" s="172"/>
      <c r="C71" s="192">
        <v>50</v>
      </c>
      <c r="D71" s="174">
        <f t="shared" si="7"/>
        <v>0.1016260162601626</v>
      </c>
      <c r="E71" s="1"/>
      <c r="F71" s="179" t="s">
        <v>132</v>
      </c>
      <c r="G71" s="180"/>
      <c r="H71" s="181">
        <f t="shared" si="5"/>
        <v>0</v>
      </c>
      <c r="I71" s="182" t="s">
        <v>133</v>
      </c>
      <c r="J71" s="187"/>
      <c r="K71" s="181">
        <f t="shared" si="6"/>
        <v>0</v>
      </c>
      <c r="L71" s="3"/>
    </row>
    <row r="72" spans="1:12">
      <c r="A72" s="171" t="s">
        <v>120</v>
      </c>
      <c r="B72" s="172"/>
      <c r="C72" s="192">
        <v>87</v>
      </c>
      <c r="D72" s="174">
        <f t="shared" si="7"/>
        <v>0.17682926829268292</v>
      </c>
      <c r="E72" s="1"/>
      <c r="F72" s="179" t="s">
        <v>134</v>
      </c>
      <c r="G72" s="180"/>
      <c r="H72" s="181">
        <f t="shared" si="5"/>
        <v>0</v>
      </c>
      <c r="I72" s="182"/>
      <c r="J72" s="187"/>
      <c r="K72" s="181">
        <f t="shared" si="6"/>
        <v>0</v>
      </c>
      <c r="L72" s="3"/>
    </row>
    <row r="73" spans="1:12">
      <c r="A73" s="183" t="s">
        <v>122</v>
      </c>
      <c r="B73" s="184"/>
      <c r="C73" s="196">
        <v>115</v>
      </c>
      <c r="D73" s="186">
        <f t="shared" si="7"/>
        <v>0.23373983739837398</v>
      </c>
      <c r="E73" s="1"/>
      <c r="F73" s="179" t="s">
        <v>135</v>
      </c>
      <c r="G73" s="180"/>
      <c r="H73" s="181">
        <f t="shared" si="5"/>
        <v>0</v>
      </c>
      <c r="I73" s="182"/>
      <c r="J73" s="187"/>
      <c r="K73" s="181">
        <f t="shared" si="6"/>
        <v>0</v>
      </c>
      <c r="L73" s="3"/>
    </row>
    <row r="74" spans="1:12">
      <c r="A74" s="19" t="s">
        <v>136</v>
      </c>
      <c r="B74" s="155"/>
      <c r="C74" s="155"/>
      <c r="D74" s="197"/>
      <c r="E74" s="1"/>
      <c r="F74" s="179" t="s">
        <v>137</v>
      </c>
      <c r="G74" s="180"/>
      <c r="H74" s="181">
        <f t="shared" si="5"/>
        <v>0</v>
      </c>
      <c r="I74" s="182"/>
      <c r="J74" s="187"/>
      <c r="K74" s="181">
        <f t="shared" si="6"/>
        <v>0</v>
      </c>
      <c r="L74" s="3"/>
    </row>
    <row r="75" spans="1:12">
      <c r="A75" s="167" t="s">
        <v>113</v>
      </c>
      <c r="B75" s="168"/>
      <c r="C75" s="169">
        <v>1565.12</v>
      </c>
      <c r="D75" s="170">
        <f>+C75/C58</f>
        <v>0.3503950317122369</v>
      </c>
      <c r="E75" s="1"/>
      <c r="F75" s="179" t="s">
        <v>138</v>
      </c>
      <c r="G75" s="180"/>
      <c r="H75" s="181">
        <f t="shared" si="5"/>
        <v>0</v>
      </c>
      <c r="I75" s="182"/>
      <c r="J75" s="187"/>
      <c r="K75" s="181">
        <f t="shared" si="6"/>
        <v>0</v>
      </c>
      <c r="L75" s="3"/>
    </row>
    <row r="76" spans="1:12">
      <c r="A76" s="171" t="s">
        <v>114</v>
      </c>
      <c r="B76" s="172"/>
      <c r="C76" s="173">
        <v>910.11</v>
      </c>
      <c r="D76" s="174">
        <f t="shared" ref="D76:D81" si="8">+C76/C59</f>
        <v>0.33219209332374594</v>
      </c>
      <c r="E76" s="1"/>
      <c r="F76" s="179"/>
      <c r="G76" s="180"/>
      <c r="H76" s="181">
        <f t="shared" si="5"/>
        <v>0</v>
      </c>
      <c r="I76" s="179" t="s">
        <v>113</v>
      </c>
      <c r="J76" s="187"/>
      <c r="K76" s="181">
        <f t="shared" si="6"/>
        <v>0</v>
      </c>
      <c r="L76" s="3"/>
    </row>
    <row r="77" spans="1:12">
      <c r="A77" s="171" t="s">
        <v>115</v>
      </c>
      <c r="B77" s="172"/>
      <c r="C77" s="173">
        <v>1796.37</v>
      </c>
      <c r="D77" s="174">
        <f t="shared" si="8"/>
        <v>0.43268195514619273</v>
      </c>
      <c r="E77" s="1"/>
      <c r="F77" s="179"/>
      <c r="G77" s="180"/>
      <c r="H77" s="181">
        <f t="shared" si="5"/>
        <v>0</v>
      </c>
      <c r="I77" s="179" t="s">
        <v>114</v>
      </c>
      <c r="J77" s="187"/>
      <c r="K77" s="181">
        <f t="shared" si="6"/>
        <v>0</v>
      </c>
      <c r="L77" s="3"/>
    </row>
    <row r="78" spans="1:12">
      <c r="A78" s="171" t="s">
        <v>116</v>
      </c>
      <c r="B78" s="172"/>
      <c r="C78" s="173">
        <v>1245.95</v>
      </c>
      <c r="D78" s="174">
        <f t="shared" si="8"/>
        <v>0.38245017358286704</v>
      </c>
      <c r="E78" s="1"/>
      <c r="F78" s="179"/>
      <c r="G78" s="180"/>
      <c r="H78" s="181">
        <f t="shared" si="5"/>
        <v>0</v>
      </c>
      <c r="I78" s="179" t="s">
        <v>115</v>
      </c>
      <c r="J78" s="187"/>
      <c r="K78" s="181">
        <f t="shared" si="6"/>
        <v>0</v>
      </c>
      <c r="L78" s="3"/>
    </row>
    <row r="79" spans="1:12">
      <c r="A79" s="171" t="s">
        <v>118</v>
      </c>
      <c r="B79" s="172"/>
      <c r="C79" s="173">
        <v>846.65</v>
      </c>
      <c r="D79" s="174">
        <f t="shared" si="8"/>
        <v>0.33368541779156335</v>
      </c>
      <c r="E79" s="198"/>
      <c r="F79" s="179"/>
      <c r="G79" s="180"/>
      <c r="H79" s="181">
        <f t="shared" si="5"/>
        <v>0</v>
      </c>
      <c r="I79" s="179" t="s">
        <v>139</v>
      </c>
      <c r="J79" s="187"/>
      <c r="K79" s="181">
        <f t="shared" si="6"/>
        <v>0</v>
      </c>
      <c r="L79" s="3"/>
    </row>
    <row r="80" spans="1:12">
      <c r="A80" s="171" t="s">
        <v>120</v>
      </c>
      <c r="B80" s="172"/>
      <c r="C80" s="173">
        <v>1652.47</v>
      </c>
      <c r="D80" s="174">
        <f t="shared" si="8"/>
        <v>0.34032531778002945</v>
      </c>
      <c r="E80" s="198"/>
      <c r="F80" s="179"/>
      <c r="G80" s="180"/>
      <c r="H80" s="181">
        <f t="shared" si="5"/>
        <v>0</v>
      </c>
      <c r="I80" s="179" t="s">
        <v>118</v>
      </c>
      <c r="J80" s="187"/>
      <c r="K80" s="181">
        <f t="shared" si="6"/>
        <v>0</v>
      </c>
      <c r="L80" s="3"/>
    </row>
    <row r="81" spans="1:12">
      <c r="A81" s="183" t="s">
        <v>122</v>
      </c>
      <c r="B81" s="184"/>
      <c r="C81" s="185">
        <v>2592.4699999999998</v>
      </c>
      <c r="D81" s="186">
        <f t="shared" si="8"/>
        <v>0.35311335853168518</v>
      </c>
      <c r="E81" s="198"/>
      <c r="F81" s="199" t="s">
        <v>140</v>
      </c>
      <c r="G81" s="200"/>
      <c r="H81" s="201"/>
      <c r="I81" s="202">
        <f>SUM(G63:G80,J63:J69)</f>
        <v>0</v>
      </c>
      <c r="J81" s="203">
        <f>+I81/C19</f>
        <v>0</v>
      </c>
      <c r="K81" s="204"/>
      <c r="L81" s="3"/>
    </row>
    <row r="82" spans="1:12">
      <c r="A82" s="205"/>
      <c r="B82" s="205"/>
      <c r="C82" s="206"/>
      <c r="D82" s="207"/>
      <c r="E82" s="208"/>
      <c r="F82" s="3"/>
      <c r="G82" s="3"/>
      <c r="H82" s="3"/>
      <c r="I82" s="3"/>
      <c r="J82" s="3"/>
      <c r="K82" s="3"/>
      <c r="L82" s="3"/>
    </row>
    <row r="83" spans="1:12">
      <c r="A83" s="205"/>
      <c r="B83" s="205"/>
      <c r="C83" s="206"/>
      <c r="D83" s="207"/>
      <c r="E83" s="208"/>
      <c r="F83" s="3"/>
      <c r="G83" s="3"/>
      <c r="H83" s="3"/>
      <c r="I83" s="3"/>
      <c r="J83" s="3"/>
      <c r="K83" s="3"/>
      <c r="L83" s="3"/>
    </row>
    <row r="84" spans="1:12">
      <c r="A84" s="205"/>
      <c r="B84" s="205"/>
      <c r="C84" s="206"/>
      <c r="D84" s="209"/>
      <c r="E84" s="208"/>
      <c r="F84" s="3"/>
      <c r="G84" s="3"/>
      <c r="H84" s="3"/>
      <c r="I84" s="3"/>
      <c r="J84" s="3"/>
      <c r="K84" s="3"/>
      <c r="L84" s="3"/>
    </row>
    <row r="85" spans="1:12">
      <c r="A85" s="210"/>
      <c r="B85" s="210"/>
      <c r="C85" s="211"/>
      <c r="D85" s="212"/>
      <c r="E85" s="208"/>
      <c r="F85" s="3"/>
      <c r="G85" s="3"/>
      <c r="H85" s="3"/>
      <c r="I85" s="3"/>
      <c r="J85" s="3"/>
      <c r="K85" s="3"/>
      <c r="L85" s="3"/>
    </row>
    <row r="86" spans="1:12">
      <c r="A86" s="213"/>
      <c r="B86" s="213"/>
      <c r="C86" s="213"/>
      <c r="D86" s="213"/>
      <c r="E86" s="208"/>
      <c r="F86" s="3"/>
      <c r="G86" s="3"/>
      <c r="H86" s="3"/>
      <c r="I86" s="3"/>
      <c r="J86" s="3"/>
      <c r="K86" s="3"/>
      <c r="L86" s="3"/>
    </row>
    <row r="87" spans="1:12">
      <c r="A87" s="214"/>
      <c r="B87" s="214"/>
      <c r="C87" s="215"/>
      <c r="D87" s="216"/>
      <c r="E87" s="208"/>
      <c r="F87" s="3"/>
      <c r="G87" s="3"/>
      <c r="H87" s="3"/>
      <c r="I87" s="3"/>
      <c r="J87" s="3"/>
      <c r="K87" s="3"/>
      <c r="L87" s="3"/>
    </row>
    <row r="88" spans="1:12">
      <c r="A88" s="214"/>
      <c r="B88" s="214"/>
      <c r="C88" s="217"/>
      <c r="D88" s="218"/>
      <c r="E88" s="3"/>
      <c r="F88" s="3"/>
      <c r="G88" s="3"/>
      <c r="H88" s="3"/>
      <c r="I88" s="3"/>
      <c r="J88" s="3"/>
      <c r="K88" s="3"/>
      <c r="L88" s="3"/>
    </row>
    <row r="89" spans="1:1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3"/>
      <c r="B90" s="3"/>
      <c r="C90" s="3"/>
      <c r="D90" s="3"/>
      <c r="E90" s="3"/>
      <c r="F90" s="3"/>
      <c r="G90" s="3"/>
      <c r="H90" s="3"/>
      <c r="I90" s="3"/>
      <c r="J90" s="3"/>
      <c r="K90" s="219"/>
      <c r="L90" s="3"/>
    </row>
    <row r="91" spans="1:1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3"/>
      <c r="B103" s="3"/>
      <c r="C103" s="3"/>
      <c r="D103" s="3"/>
      <c r="E103" s="3"/>
      <c r="F103" s="3"/>
      <c r="G103" s="3"/>
      <c r="H103" s="220"/>
      <c r="I103" s="3"/>
      <c r="J103" s="3"/>
      <c r="K103" s="3"/>
      <c r="L103" s="3"/>
    </row>
  </sheetData>
  <customSheetViews>
    <customSheetView guid="{2443864E-3EC0-42CB-9BCC-E86B96EC82D4}">
      <selection sqref="A1:L103"/>
      <pageMargins left="0.7" right="0.7" top="0.75" bottom="0.75" header="0.3" footer="0.3"/>
    </customSheetView>
  </customSheetViews>
  <mergeCells count="49">
    <mergeCell ref="F81:H81"/>
    <mergeCell ref="A57:D57"/>
    <mergeCell ref="F61:K61"/>
    <mergeCell ref="F62:K62"/>
    <mergeCell ref="A66:D66"/>
    <mergeCell ref="I70:K70"/>
    <mergeCell ref="A74:D74"/>
    <mergeCell ref="A51:B51"/>
    <mergeCell ref="A52:B52"/>
    <mergeCell ref="A53:B53"/>
    <mergeCell ref="A54:B54"/>
    <mergeCell ref="A55:B55"/>
    <mergeCell ref="A56:B56"/>
    <mergeCell ref="A46:B46"/>
    <mergeCell ref="A47:B47"/>
    <mergeCell ref="A48:B48"/>
    <mergeCell ref="A49:B49"/>
    <mergeCell ref="A50:D50"/>
    <mergeCell ref="F50:K50"/>
    <mergeCell ref="A27:B27"/>
    <mergeCell ref="F28:K28"/>
    <mergeCell ref="F39:K39"/>
    <mergeCell ref="A43:B43"/>
    <mergeCell ref="A44:B44"/>
    <mergeCell ref="A45:B45"/>
    <mergeCell ref="A19:B19"/>
    <mergeCell ref="A20:B20"/>
    <mergeCell ref="A21:B21"/>
    <mergeCell ref="A22:B22"/>
    <mergeCell ref="A23:B23"/>
    <mergeCell ref="A26:D2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B1:J1"/>
    <mergeCell ref="G2:H2"/>
    <mergeCell ref="G3:H3"/>
    <mergeCell ref="G4:H4"/>
    <mergeCell ref="A6:B6"/>
    <mergeCell ref="F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DAIRY QUEEN DORADO</vt:lpstr>
      <vt:lpstr>DAIRY QUEEN SENDERO</vt:lpstr>
      <vt:lpstr>DAIRY QUEEN LOMAS</vt:lpstr>
      <vt:lpstr>DAIRY QUEEN CENTRO</vt:lpstr>
      <vt:lpstr>DAIRY QUEEN VALLES</vt:lpstr>
      <vt:lpstr>DAIRY QUEEN CHAPULTEPEC</vt:lpstr>
      <vt:lpstr>DAIRY QUEEN WTC</vt:lpstr>
      <vt:lpstr>DAIRY QUEEN CONSTRUPLAZA</vt:lpstr>
      <vt:lpstr>DAIRY QUEEN MATEHUALA</vt:lpstr>
      <vt:lpstr>DAIRY QUEEN CARRANZA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2018-11-26T16:47:13Z</dcterms:created>
  <dcterms:modified xsi:type="dcterms:W3CDTF">2018-11-26T16:55:41Z</dcterms:modified>
</cp:coreProperties>
</file>